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efkensm\Desktop\Twiplomacy 2016\YouTube\Launch Materiel\"/>
    </mc:Choice>
  </mc:AlternateContent>
  <bookViews>
    <workbookView xWindow="0" yWindow="0" windowWidth="28800" windowHeight="11840"/>
  </bookViews>
  <sheets>
    <sheet name="YouTube Master" sheetId="1" r:id="rId1"/>
    <sheet name="Video Rankings" sheetId="5" r:id="rId2"/>
    <sheet name="Countries on YouTube" sheetId="3" r:id="rId3"/>
    <sheet name="Infographics" sheetId="4" r:id="rId4"/>
    <sheet name="Final Infographics" sheetId="6" r:id="rId5"/>
  </sheets>
  <definedNames>
    <definedName name="_xlnm._FilterDatabase" localSheetId="0" hidden="1">'YouTube Master'!$A$2:$V$342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89" i="1" l="1"/>
  <c r="Q336" i="1"/>
  <c r="Q12" i="1"/>
  <c r="Q80" i="1"/>
  <c r="Q5" i="1"/>
  <c r="Q245" i="1"/>
  <c r="Q8" i="1"/>
  <c r="Q113" i="1"/>
  <c r="Q20" i="1"/>
  <c r="Q174" i="1"/>
  <c r="Q300" i="1"/>
  <c r="Q340" i="1"/>
  <c r="Q145" i="1"/>
  <c r="Q134" i="1"/>
  <c r="Q268" i="1"/>
  <c r="Q325" i="1"/>
  <c r="Q66" i="1"/>
  <c r="Q140" i="1"/>
  <c r="Q202" i="1"/>
  <c r="Q109" i="1"/>
  <c r="Q63" i="1"/>
  <c r="Q97" i="1"/>
  <c r="Q50" i="1"/>
  <c r="O334" i="1" l="1"/>
  <c r="Q334" i="1" s="1"/>
  <c r="O291" i="1"/>
  <c r="O236" i="1"/>
  <c r="O288" i="1"/>
  <c r="O227" i="1"/>
  <c r="O149" i="1"/>
  <c r="Q149" i="1" s="1"/>
  <c r="O114" i="1"/>
  <c r="O135" i="1"/>
  <c r="O237" i="1"/>
  <c r="Q237" i="1" s="1"/>
  <c r="O224" i="1"/>
  <c r="O100" i="1"/>
  <c r="O34" i="1"/>
  <c r="Q34" i="1" s="1"/>
  <c r="O166" i="1"/>
  <c r="O32" i="1"/>
  <c r="O150" i="1"/>
  <c r="Q150" i="1" s="1"/>
  <c r="O42" i="1"/>
  <c r="O13" i="1"/>
  <c r="Q13" i="1" s="1"/>
  <c r="O162" i="1"/>
  <c r="O331" i="1"/>
  <c r="O106" i="1"/>
  <c r="O191" i="1"/>
  <c r="Q191" i="1" s="1"/>
  <c r="O116" i="1"/>
  <c r="O17" i="1"/>
  <c r="O185" i="1"/>
  <c r="Q185" i="1" s="1"/>
  <c r="O195" i="1"/>
  <c r="O247" i="1"/>
  <c r="O210" i="1"/>
  <c r="Q210" i="1" s="1"/>
  <c r="O104" i="1"/>
  <c r="O267" i="1"/>
  <c r="O52" i="1"/>
  <c r="O279" i="1"/>
  <c r="Q279" i="1" s="1"/>
  <c r="O165" i="1"/>
  <c r="O45" i="1"/>
  <c r="O328" i="1"/>
  <c r="O314" i="1"/>
  <c r="Q314" i="1" s="1"/>
  <c r="O142" i="1"/>
  <c r="O146" i="1"/>
  <c r="O307" i="1"/>
  <c r="O313" i="1"/>
  <c r="Q313" i="1" s="1"/>
  <c r="O71" i="1"/>
  <c r="O96" i="1"/>
  <c r="O110" i="1"/>
  <c r="Q110" i="1" s="1"/>
  <c r="O117" i="1"/>
  <c r="O303" i="1"/>
  <c r="O56" i="1"/>
  <c r="O136" i="1"/>
  <c r="Q136" i="1" s="1"/>
  <c r="O38" i="1"/>
  <c r="O193" i="1"/>
  <c r="O18" i="1"/>
  <c r="O44" i="1"/>
  <c r="Q44" i="1" s="1"/>
  <c r="O221" i="1"/>
  <c r="O62" i="1"/>
  <c r="O270" i="1"/>
  <c r="O297" i="1"/>
  <c r="Q297" i="1" s="1"/>
  <c r="O35" i="1"/>
  <c r="O154" i="1"/>
  <c r="O60" i="1"/>
  <c r="O53" i="1"/>
  <c r="Q53" i="1" s="1"/>
  <c r="O72" i="1"/>
  <c r="O200" i="1"/>
  <c r="O208" i="1"/>
  <c r="Q208" i="1" s="1"/>
  <c r="O107" i="1"/>
  <c r="O152" i="1"/>
  <c r="O33" i="1"/>
  <c r="O123" i="1"/>
  <c r="O199" i="1"/>
  <c r="N199" i="1" s="1"/>
  <c r="O9" i="1"/>
  <c r="O25" i="1"/>
  <c r="Q25" i="1" s="1"/>
  <c r="O57" i="1"/>
  <c r="O164" i="1"/>
  <c r="O320" i="1"/>
  <c r="O144" i="1"/>
  <c r="Q144" i="1" s="1"/>
  <c r="O181" i="1"/>
  <c r="O55" i="1"/>
  <c r="O311" i="1"/>
  <c r="O206" i="1"/>
  <c r="Q206" i="1" s="1"/>
  <c r="O43" i="1"/>
  <c r="O48" i="1"/>
  <c r="O339" i="1"/>
  <c r="O11" i="1"/>
  <c r="Q11" i="1" s="1"/>
  <c r="O215" i="1"/>
  <c r="O91" i="1"/>
  <c r="O81" i="1"/>
  <c r="O204" i="1"/>
  <c r="Q204" i="1" s="1"/>
  <c r="O168" i="1"/>
  <c r="O235" i="1"/>
  <c r="O7" i="1"/>
  <c r="O74" i="1"/>
  <c r="Q74" i="1" s="1"/>
  <c r="O203" i="1"/>
  <c r="O70" i="1"/>
  <c r="O246" i="1"/>
  <c r="Q246" i="1" s="1"/>
  <c r="O299" i="1"/>
  <c r="O301" i="1"/>
  <c r="O163" i="1"/>
  <c r="O37" i="1"/>
  <c r="Q37" i="1" s="1"/>
  <c r="O180" i="1"/>
  <c r="O22" i="1"/>
  <c r="Q22" i="1" s="1"/>
  <c r="O143" i="1"/>
  <c r="O102" i="1"/>
  <c r="O86" i="1"/>
  <c r="O207" i="1"/>
  <c r="Q207" i="1" s="1"/>
  <c r="O197" i="1"/>
  <c r="O111" i="1"/>
  <c r="O157" i="1"/>
  <c r="O286" i="1"/>
  <c r="Q286" i="1" s="1"/>
  <c r="O167" i="1"/>
  <c r="O158" i="1"/>
  <c r="O242" i="1"/>
  <c r="O129" i="1"/>
  <c r="Q129" i="1" s="1"/>
  <c r="O147" i="1"/>
  <c r="O118" i="1"/>
  <c r="O198" i="1"/>
  <c r="O269" i="1"/>
  <c r="Q269" i="1" s="1"/>
  <c r="O27" i="1"/>
  <c r="O179" i="1"/>
  <c r="O68" i="1"/>
  <c r="O65" i="1"/>
  <c r="Q65" i="1" s="1"/>
  <c r="O186" i="1"/>
  <c r="O75" i="1"/>
  <c r="O256" i="1"/>
  <c r="O14" i="1"/>
  <c r="Q14" i="1" s="1"/>
  <c r="O249" i="1"/>
  <c r="O59" i="1"/>
  <c r="O54" i="1"/>
  <c r="O217" i="1"/>
  <c r="Q217" i="1" s="1"/>
  <c r="O183" i="1"/>
  <c r="O302" i="1"/>
  <c r="O130" i="1"/>
  <c r="O98" i="1"/>
  <c r="Q98" i="1" s="1"/>
  <c r="O274" i="1"/>
  <c r="O253" i="1"/>
  <c r="O131" i="1"/>
  <c r="O214" i="1"/>
  <c r="Q214" i="1" s="1"/>
  <c r="O156" i="1"/>
  <c r="O105" i="1"/>
  <c r="O337" i="1"/>
  <c r="Q337" i="1" s="1"/>
  <c r="O115" i="1"/>
  <c r="O282" i="1"/>
  <c r="O6" i="1"/>
  <c r="O61" i="1"/>
  <c r="Q61" i="1" s="1"/>
  <c r="O46" i="1"/>
  <c r="O141" i="1"/>
  <c r="O28" i="1"/>
  <c r="O287" i="1"/>
  <c r="Q287" i="1" s="1"/>
  <c r="O41" i="1"/>
  <c r="O51" i="1"/>
  <c r="O266" i="1"/>
  <c r="O148" i="1"/>
  <c r="Q148" i="1" s="1"/>
  <c r="O283" i="1"/>
  <c r="O194" i="1"/>
  <c r="O243" i="1"/>
  <c r="O171" i="1"/>
  <c r="Q171" i="1" s="1"/>
  <c r="O83" i="1"/>
  <c r="O67" i="1"/>
  <c r="O10" i="1"/>
  <c r="O101" i="1"/>
  <c r="O228" i="1"/>
  <c r="O187" i="1"/>
  <c r="O178" i="1"/>
  <c r="O73" i="1"/>
  <c r="O99" i="1"/>
  <c r="O225" i="1"/>
  <c r="O103" i="1"/>
  <c r="O19" i="1"/>
  <c r="O24" i="1"/>
  <c r="O317" i="1"/>
  <c r="O333" i="1"/>
  <c r="O212" i="1"/>
  <c r="O275" i="1"/>
  <c r="O138" i="1"/>
  <c r="O177" i="1"/>
  <c r="O281" i="1"/>
  <c r="O264" i="1"/>
  <c r="O342" i="1"/>
  <c r="O295" i="1"/>
  <c r="O29" i="1"/>
  <c r="O238" i="1"/>
  <c r="O196" i="1"/>
  <c r="O119" i="1"/>
  <c r="O133" i="1"/>
  <c r="O240" i="1"/>
  <c r="O176" i="1"/>
  <c r="O155" i="1"/>
  <c r="O169" i="1"/>
  <c r="O139" i="1"/>
  <c r="O21" i="1"/>
  <c r="O31" i="1"/>
  <c r="O233" i="1"/>
  <c r="O16" i="1"/>
  <c r="O265" i="1"/>
  <c r="O213" i="1"/>
  <c r="O332" i="1"/>
  <c r="O309" i="1"/>
  <c r="O124" i="1"/>
  <c r="O201" i="1"/>
  <c r="O161" i="1"/>
  <c r="O280" i="1"/>
  <c r="O153" i="1"/>
  <c r="O39" i="1"/>
  <c r="O69" i="1"/>
  <c r="O294" i="1"/>
  <c r="O318" i="1"/>
  <c r="O327" i="1"/>
  <c r="O93" i="1"/>
  <c r="O49" i="1"/>
  <c r="O192" i="1"/>
  <c r="O239" i="1"/>
  <c r="O290" i="1"/>
  <c r="O308" i="1"/>
  <c r="O23" i="1"/>
  <c r="O310" i="1"/>
  <c r="O121" i="1"/>
  <c r="O125" i="1"/>
  <c r="O263" i="1"/>
  <c r="O175" i="1"/>
  <c r="O84" i="1"/>
  <c r="O277" i="1"/>
  <c r="O272" i="1"/>
  <c r="O226" i="1"/>
  <c r="O298" i="1"/>
  <c r="O296" i="1"/>
  <c r="O232" i="1"/>
  <c r="O248" i="1"/>
  <c r="O64" i="1"/>
  <c r="O223" i="1"/>
  <c r="O323" i="1"/>
  <c r="O85" i="1"/>
  <c r="O285" i="1"/>
  <c r="O132" i="1"/>
  <c r="O184" i="1"/>
  <c r="O112" i="1"/>
  <c r="O182" i="1"/>
  <c r="O120" i="1"/>
  <c r="O335" i="1"/>
  <c r="O88" i="1"/>
  <c r="O261" i="1"/>
  <c r="O87" i="1"/>
  <c r="O205" i="1"/>
  <c r="O330" i="1"/>
  <c r="O151" i="1"/>
  <c r="O222" i="1"/>
  <c r="O172" i="1"/>
  <c r="O159" i="1"/>
  <c r="O251" i="1"/>
  <c r="O284" i="1"/>
  <c r="O47" i="1"/>
  <c r="O82" i="1"/>
  <c r="O128" i="1"/>
  <c r="O324" i="1"/>
  <c r="O262" i="1"/>
  <c r="O219" i="1"/>
  <c r="O218" i="1"/>
  <c r="O271" i="1"/>
  <c r="O58" i="1"/>
  <c r="O252" i="1"/>
  <c r="O190" i="1"/>
  <c r="O188" i="1"/>
  <c r="O220" i="1"/>
  <c r="O244" i="1"/>
  <c r="O255" i="1"/>
  <c r="O189" i="1"/>
  <c r="O257" i="1"/>
  <c r="O90" i="1"/>
  <c r="O273" i="1"/>
  <c r="O40" i="1"/>
  <c r="O108" i="1"/>
  <c r="O211" i="1"/>
  <c r="O322" i="1"/>
  <c r="O231" i="1"/>
  <c r="O30" i="1"/>
  <c r="O319" i="1"/>
  <c r="O250" i="1"/>
  <c r="O341" i="1"/>
  <c r="O79" i="1"/>
  <c r="O278" i="1"/>
  <c r="O321" i="1"/>
  <c r="O36" i="1"/>
  <c r="O292" i="1"/>
  <c r="O127" i="1"/>
  <c r="O326" i="1"/>
  <c r="O173" i="1"/>
  <c r="O92" i="1"/>
  <c r="O122" i="1"/>
  <c r="O259" i="1"/>
  <c r="O89" i="1"/>
  <c r="O95" i="1"/>
  <c r="O126" i="1"/>
  <c r="O78" i="1"/>
  <c r="O229" i="1"/>
  <c r="O315" i="1"/>
  <c r="O137" i="1"/>
  <c r="O160" i="1"/>
  <c r="O260" i="1"/>
  <c r="O329" i="1"/>
  <c r="O306" i="1"/>
  <c r="O94" i="1"/>
  <c r="O77" i="1"/>
  <c r="O15" i="1"/>
  <c r="O293" i="1"/>
  <c r="O316" i="1"/>
  <c r="O258" i="1"/>
  <c r="O254" i="1"/>
  <c r="O76" i="1"/>
  <c r="O312" i="1"/>
  <c r="O170" i="1"/>
  <c r="O26" i="1"/>
  <c r="O3" i="1"/>
  <c r="O276" i="1"/>
  <c r="O4" i="1"/>
  <c r="O209" i="1"/>
  <c r="O234" i="1"/>
  <c r="O338" i="1"/>
  <c r="O216" i="1"/>
  <c r="O230" i="1"/>
  <c r="O241" i="1"/>
  <c r="O305" i="1"/>
  <c r="O304" i="1"/>
  <c r="Q304" i="1" s="1"/>
  <c r="N241" i="1" l="1"/>
  <c r="Q241" i="1"/>
  <c r="N306" i="1"/>
  <c r="Q306" i="1"/>
  <c r="N278" i="1"/>
  <c r="Q278" i="1"/>
  <c r="N244" i="1"/>
  <c r="Q244" i="1"/>
  <c r="N330" i="1"/>
  <c r="Q330" i="1"/>
  <c r="N226" i="1"/>
  <c r="Q226" i="1"/>
  <c r="M327" i="1"/>
  <c r="Q327" i="1"/>
  <c r="M155" i="1"/>
  <c r="Q155" i="1"/>
  <c r="M103" i="1"/>
  <c r="Q103" i="1"/>
  <c r="N28" i="1"/>
  <c r="Q28" i="1"/>
  <c r="N179" i="1"/>
  <c r="Q179" i="1"/>
  <c r="N311" i="1"/>
  <c r="Q311" i="1"/>
  <c r="N234" i="1"/>
  <c r="Q234" i="1"/>
  <c r="N293" i="1"/>
  <c r="Q293" i="1"/>
  <c r="N122" i="1"/>
  <c r="Q122" i="1"/>
  <c r="N211" i="1"/>
  <c r="Q211" i="1"/>
  <c r="N219" i="1"/>
  <c r="Q219" i="1"/>
  <c r="N88" i="1"/>
  <c r="Q88" i="1"/>
  <c r="N248" i="1"/>
  <c r="Q248" i="1"/>
  <c r="M239" i="1"/>
  <c r="Q239" i="1"/>
  <c r="M213" i="1"/>
  <c r="Q213" i="1"/>
  <c r="M295" i="1"/>
  <c r="Q295" i="1"/>
  <c r="M178" i="1"/>
  <c r="Q178" i="1"/>
  <c r="N266" i="1"/>
  <c r="Q266" i="1"/>
  <c r="N253" i="1"/>
  <c r="Q253" i="1"/>
  <c r="N75" i="1"/>
  <c r="Q75" i="1"/>
  <c r="N111" i="1"/>
  <c r="Q111" i="1"/>
  <c r="N102" i="1"/>
  <c r="Q102" i="1"/>
  <c r="N81" i="1"/>
  <c r="Q81" i="1"/>
  <c r="N200" i="1"/>
  <c r="Q200" i="1"/>
  <c r="N15" i="1"/>
  <c r="Q15" i="1"/>
  <c r="N315" i="1"/>
  <c r="Q315" i="1"/>
  <c r="N95" i="1"/>
  <c r="Q95" i="1"/>
  <c r="N92" i="1"/>
  <c r="Q92" i="1"/>
  <c r="N292" i="1"/>
  <c r="Q292" i="1"/>
  <c r="N79" i="1"/>
  <c r="Q79" i="1"/>
  <c r="N30" i="1"/>
  <c r="Q30" i="1"/>
  <c r="N108" i="1"/>
  <c r="Q108" i="1"/>
  <c r="N257" i="1"/>
  <c r="Q257" i="1"/>
  <c r="N220" i="1"/>
  <c r="Q220" i="1"/>
  <c r="N58" i="1"/>
  <c r="Q58" i="1"/>
  <c r="N262" i="1"/>
  <c r="Q262" i="1"/>
  <c r="N47" i="1"/>
  <c r="Q47" i="1"/>
  <c r="M172" i="1"/>
  <c r="Q172" i="1"/>
  <c r="M205" i="1"/>
  <c r="Q205" i="1"/>
  <c r="M335" i="1"/>
  <c r="Q335" i="1"/>
  <c r="M184" i="1"/>
  <c r="Q184" i="1"/>
  <c r="M323" i="1"/>
  <c r="Q323" i="1"/>
  <c r="M232" i="1"/>
  <c r="Q232" i="1"/>
  <c r="M272" i="1"/>
  <c r="Q272" i="1"/>
  <c r="M263" i="1"/>
  <c r="Q263" i="1"/>
  <c r="N23" i="1"/>
  <c r="Q23" i="1"/>
  <c r="N192" i="1"/>
  <c r="Q192" i="1"/>
  <c r="N318" i="1"/>
  <c r="Q318" i="1"/>
  <c r="M153" i="1"/>
  <c r="Q153" i="1"/>
  <c r="M124" i="1"/>
  <c r="Q124" i="1"/>
  <c r="N265" i="1"/>
  <c r="Q265" i="1"/>
  <c r="N21" i="1"/>
  <c r="Q21" i="1"/>
  <c r="N176" i="1"/>
  <c r="Q176" i="1"/>
  <c r="N196" i="1"/>
  <c r="Q196" i="1"/>
  <c r="N342" i="1"/>
  <c r="Q342" i="1"/>
  <c r="N138" i="1"/>
  <c r="Q138" i="1"/>
  <c r="N317" i="1"/>
  <c r="Q317" i="1"/>
  <c r="N225" i="1"/>
  <c r="Q225" i="1"/>
  <c r="N187" i="1"/>
  <c r="Q187" i="1"/>
  <c r="N67" i="1"/>
  <c r="Q67" i="1"/>
  <c r="M194" i="1"/>
  <c r="Q194" i="1"/>
  <c r="N51" i="1"/>
  <c r="Q51" i="1"/>
  <c r="M141" i="1"/>
  <c r="Q141" i="1"/>
  <c r="N282" i="1"/>
  <c r="Q282" i="1"/>
  <c r="M156" i="1"/>
  <c r="Q156" i="1"/>
  <c r="M274" i="1"/>
  <c r="Q274" i="1"/>
  <c r="M183" i="1"/>
  <c r="Q183" i="1"/>
  <c r="M249" i="1"/>
  <c r="Q249" i="1"/>
  <c r="M186" i="1"/>
  <c r="Q186" i="1"/>
  <c r="M27" i="1"/>
  <c r="Q27" i="1"/>
  <c r="M147" i="1"/>
  <c r="Q147" i="1"/>
  <c r="M167" i="1"/>
  <c r="Q167" i="1"/>
  <c r="M197" i="1"/>
  <c r="Q197" i="1"/>
  <c r="M143" i="1"/>
  <c r="Q143" i="1"/>
  <c r="M163" i="1"/>
  <c r="Q163" i="1"/>
  <c r="M70" i="1"/>
  <c r="Q70" i="1"/>
  <c r="M235" i="1"/>
  <c r="Q235" i="1"/>
  <c r="M91" i="1"/>
  <c r="Q91" i="1"/>
  <c r="M48" i="1"/>
  <c r="Q48" i="1"/>
  <c r="M55" i="1"/>
  <c r="Q55" i="1"/>
  <c r="N164" i="1"/>
  <c r="Q164" i="1"/>
  <c r="N152" i="1"/>
  <c r="Q152" i="1"/>
  <c r="M72" i="1"/>
  <c r="Q72" i="1"/>
  <c r="M35" i="1"/>
  <c r="Q35" i="1"/>
  <c r="M221" i="1"/>
  <c r="Q221" i="1"/>
  <c r="M38" i="1"/>
  <c r="Q38" i="1"/>
  <c r="M117" i="1"/>
  <c r="Q117" i="1"/>
  <c r="N17" i="1"/>
  <c r="Q17" i="1"/>
  <c r="N331" i="1"/>
  <c r="Q331" i="1"/>
  <c r="N100" i="1"/>
  <c r="Q100" i="1"/>
  <c r="M114" i="1"/>
  <c r="Q114" i="1"/>
  <c r="N236" i="1"/>
  <c r="Q236" i="1"/>
  <c r="N76" i="1"/>
  <c r="Q76" i="1"/>
  <c r="N126" i="1"/>
  <c r="Q126" i="1"/>
  <c r="N319" i="1"/>
  <c r="Q319" i="1"/>
  <c r="N252" i="1"/>
  <c r="Q252" i="1"/>
  <c r="N159" i="1"/>
  <c r="Q159" i="1"/>
  <c r="N112" i="1"/>
  <c r="Q112" i="1"/>
  <c r="N175" i="1"/>
  <c r="Q175" i="1"/>
  <c r="N39" i="1"/>
  <c r="Q39" i="1"/>
  <c r="M31" i="1"/>
  <c r="Q31" i="1"/>
  <c r="M177" i="1"/>
  <c r="Q177" i="1"/>
  <c r="N243" i="1"/>
  <c r="Q243" i="1"/>
  <c r="N105" i="1"/>
  <c r="Q105" i="1"/>
  <c r="N59" i="1"/>
  <c r="Q59" i="1"/>
  <c r="N158" i="1"/>
  <c r="Q158" i="1"/>
  <c r="N7" i="1"/>
  <c r="Q7" i="1"/>
  <c r="N320" i="1"/>
  <c r="Q320" i="1"/>
  <c r="N33" i="1"/>
  <c r="Q33" i="1"/>
  <c r="N62" i="1"/>
  <c r="Q62" i="1"/>
  <c r="N303" i="1"/>
  <c r="Q303" i="1"/>
  <c r="M142" i="1"/>
  <c r="Q142" i="1"/>
  <c r="N42" i="1"/>
  <c r="Q42" i="1"/>
  <c r="N135" i="1"/>
  <c r="Q135" i="1"/>
  <c r="N230" i="1"/>
  <c r="Q230" i="1"/>
  <c r="N26" i="1"/>
  <c r="Q26" i="1"/>
  <c r="N329" i="1"/>
  <c r="Q329" i="1"/>
  <c r="N216" i="1"/>
  <c r="Q216" i="1"/>
  <c r="N4" i="1"/>
  <c r="Q4" i="1"/>
  <c r="M170" i="1"/>
  <c r="Q170" i="1"/>
  <c r="N258" i="1"/>
  <c r="Q258" i="1"/>
  <c r="N77" i="1"/>
  <c r="Q77" i="1"/>
  <c r="N260" i="1"/>
  <c r="Q260" i="1"/>
  <c r="N229" i="1"/>
  <c r="Q229" i="1"/>
  <c r="N89" i="1"/>
  <c r="Q89" i="1"/>
  <c r="N173" i="1"/>
  <c r="Q173" i="1"/>
  <c r="N36" i="1"/>
  <c r="Q36" i="1"/>
  <c r="N341" i="1"/>
  <c r="Q341" i="1"/>
  <c r="N231" i="1"/>
  <c r="Q231" i="1"/>
  <c r="N40" i="1"/>
  <c r="Q40" i="1"/>
  <c r="N189" i="1"/>
  <c r="Q189" i="1"/>
  <c r="N188" i="1"/>
  <c r="Q188" i="1"/>
  <c r="N271" i="1"/>
  <c r="Q271" i="1"/>
  <c r="N324" i="1"/>
  <c r="Q324" i="1"/>
  <c r="N284" i="1"/>
  <c r="Q284" i="1"/>
  <c r="N222" i="1"/>
  <c r="Q222" i="1"/>
  <c r="N87" i="1"/>
  <c r="Q87" i="1"/>
  <c r="N120" i="1"/>
  <c r="Q120" i="1"/>
  <c r="N132" i="1"/>
  <c r="Q132" i="1"/>
  <c r="N223" i="1"/>
  <c r="Q223" i="1"/>
  <c r="N296" i="1"/>
  <c r="Q296" i="1"/>
  <c r="N277" i="1"/>
  <c r="Q277" i="1"/>
  <c r="N125" i="1"/>
  <c r="Q125" i="1"/>
  <c r="M308" i="1"/>
  <c r="Q308" i="1"/>
  <c r="M49" i="1"/>
  <c r="Q49" i="1"/>
  <c r="N294" i="1"/>
  <c r="Q294" i="1"/>
  <c r="N280" i="1"/>
  <c r="Q280" i="1"/>
  <c r="N309" i="1"/>
  <c r="Q309" i="1"/>
  <c r="M16" i="1"/>
  <c r="Q16" i="1"/>
  <c r="M139" i="1"/>
  <c r="Q139" i="1"/>
  <c r="M240" i="1"/>
  <c r="Q240" i="1"/>
  <c r="M238" i="1"/>
  <c r="Q238" i="1"/>
  <c r="M264" i="1"/>
  <c r="Q264" i="1"/>
  <c r="M275" i="1"/>
  <c r="Q275" i="1"/>
  <c r="M24" i="1"/>
  <c r="Q24" i="1"/>
  <c r="M99" i="1"/>
  <c r="Q99" i="1"/>
  <c r="M228" i="1"/>
  <c r="Q228" i="1"/>
  <c r="M83" i="1"/>
  <c r="Q83" i="1"/>
  <c r="M283" i="1"/>
  <c r="Q283" i="1"/>
  <c r="M41" i="1"/>
  <c r="Q41" i="1"/>
  <c r="M46" i="1"/>
  <c r="Q46" i="1"/>
  <c r="M115" i="1"/>
  <c r="Q115" i="1"/>
  <c r="N301" i="1"/>
  <c r="Q301" i="1"/>
  <c r="M203" i="1"/>
  <c r="Q203" i="1"/>
  <c r="M168" i="1"/>
  <c r="Q168" i="1"/>
  <c r="M215" i="1"/>
  <c r="Q215" i="1"/>
  <c r="M43" i="1"/>
  <c r="Q43" i="1"/>
  <c r="M181" i="1"/>
  <c r="Q181" i="1"/>
  <c r="M57" i="1"/>
  <c r="Q57" i="1"/>
  <c r="M199" i="1"/>
  <c r="Q199" i="1"/>
  <c r="M107" i="1"/>
  <c r="Q107" i="1"/>
  <c r="N307" i="1"/>
  <c r="Q307" i="1"/>
  <c r="N328" i="1"/>
  <c r="Q328" i="1"/>
  <c r="N52" i="1"/>
  <c r="Q52" i="1"/>
  <c r="N247" i="1"/>
  <c r="Q247" i="1"/>
  <c r="N116" i="1"/>
  <c r="Q116" i="1"/>
  <c r="M162" i="1"/>
  <c r="Q162" i="1"/>
  <c r="N32" i="1"/>
  <c r="Q32" i="1"/>
  <c r="M224" i="1"/>
  <c r="Q224" i="1"/>
  <c r="N291" i="1"/>
  <c r="Q291" i="1"/>
  <c r="N3" i="1"/>
  <c r="Q3" i="1"/>
  <c r="N137" i="1"/>
  <c r="Q137" i="1"/>
  <c r="N127" i="1"/>
  <c r="Q127" i="1"/>
  <c r="N90" i="1"/>
  <c r="Q90" i="1"/>
  <c r="N82" i="1"/>
  <c r="Q82" i="1"/>
  <c r="N85" i="1"/>
  <c r="Q85" i="1"/>
  <c r="N310" i="1"/>
  <c r="Q310" i="1"/>
  <c r="N201" i="1"/>
  <c r="Q201" i="1"/>
  <c r="M119" i="1"/>
  <c r="Q119" i="1"/>
  <c r="M333" i="1"/>
  <c r="Q333" i="1"/>
  <c r="N10" i="1"/>
  <c r="Q10" i="1"/>
  <c r="N6" i="1"/>
  <c r="Q6" i="1"/>
  <c r="N302" i="1"/>
  <c r="Q302" i="1"/>
  <c r="N118" i="1"/>
  <c r="Q118" i="1"/>
  <c r="N339" i="1"/>
  <c r="Q339" i="1"/>
  <c r="N9" i="1"/>
  <c r="Q9" i="1"/>
  <c r="N154" i="1"/>
  <c r="Q154" i="1"/>
  <c r="N193" i="1"/>
  <c r="Q193" i="1"/>
  <c r="N71" i="1"/>
  <c r="Q71" i="1"/>
  <c r="M165" i="1"/>
  <c r="Q165" i="1"/>
  <c r="M104" i="1"/>
  <c r="Q104" i="1"/>
  <c r="N106" i="1"/>
  <c r="Q106" i="1"/>
  <c r="N288" i="1"/>
  <c r="Q288" i="1"/>
  <c r="N209" i="1"/>
  <c r="Q209" i="1"/>
  <c r="N254" i="1"/>
  <c r="Q254" i="1"/>
  <c r="N305" i="1"/>
  <c r="Q305" i="1"/>
  <c r="M338" i="1"/>
  <c r="Q338" i="1"/>
  <c r="M276" i="1"/>
  <c r="Q276" i="1"/>
  <c r="N312" i="1"/>
  <c r="Q312" i="1"/>
  <c r="M316" i="1"/>
  <c r="Q316" i="1"/>
  <c r="M94" i="1"/>
  <c r="Q94" i="1"/>
  <c r="M160" i="1"/>
  <c r="Q160" i="1"/>
  <c r="M78" i="1"/>
  <c r="Q78" i="1"/>
  <c r="M259" i="1"/>
  <c r="Q259" i="1"/>
  <c r="M326" i="1"/>
  <c r="Q326" i="1"/>
  <c r="M321" i="1"/>
  <c r="Q321" i="1"/>
  <c r="M250" i="1"/>
  <c r="Q250" i="1"/>
  <c r="M322" i="1"/>
  <c r="Q322" i="1"/>
  <c r="M273" i="1"/>
  <c r="Q273" i="1"/>
  <c r="M255" i="1"/>
  <c r="Q255" i="1"/>
  <c r="M190" i="1"/>
  <c r="Q190" i="1"/>
  <c r="M218" i="1"/>
  <c r="Q218" i="1"/>
  <c r="M128" i="1"/>
  <c r="Q128" i="1"/>
  <c r="M251" i="1"/>
  <c r="Q251" i="1"/>
  <c r="M151" i="1"/>
  <c r="Q151" i="1"/>
  <c r="M261" i="1"/>
  <c r="Q261" i="1"/>
  <c r="M182" i="1"/>
  <c r="Q182" i="1"/>
  <c r="M285" i="1"/>
  <c r="Q285" i="1"/>
  <c r="M64" i="1"/>
  <c r="Q64" i="1"/>
  <c r="M298" i="1"/>
  <c r="Q298" i="1"/>
  <c r="M84" i="1"/>
  <c r="Q84" i="1"/>
  <c r="M121" i="1"/>
  <c r="Q121" i="1"/>
  <c r="N290" i="1"/>
  <c r="Q290" i="1"/>
  <c r="N93" i="1"/>
  <c r="Q93" i="1"/>
  <c r="M69" i="1"/>
  <c r="Q69" i="1"/>
  <c r="M161" i="1"/>
  <c r="Q161" i="1"/>
  <c r="N332" i="1"/>
  <c r="Q332" i="1"/>
  <c r="N233" i="1"/>
  <c r="Q233" i="1"/>
  <c r="N169" i="1"/>
  <c r="Q169" i="1"/>
  <c r="N133" i="1"/>
  <c r="Q133" i="1"/>
  <c r="N29" i="1"/>
  <c r="Q29" i="1"/>
  <c r="N281" i="1"/>
  <c r="Q281" i="1"/>
  <c r="N212" i="1"/>
  <c r="Q212" i="1"/>
  <c r="N19" i="1"/>
  <c r="Q19" i="1"/>
  <c r="N73" i="1"/>
  <c r="Q73" i="1"/>
  <c r="N101" i="1"/>
  <c r="Q101" i="1"/>
  <c r="N131" i="1"/>
  <c r="Q131" i="1"/>
  <c r="N130" i="1"/>
  <c r="Q130" i="1"/>
  <c r="N54" i="1"/>
  <c r="Q54" i="1"/>
  <c r="N256" i="1"/>
  <c r="Q256" i="1"/>
  <c r="N68" i="1"/>
  <c r="Q68" i="1"/>
  <c r="N198" i="1"/>
  <c r="Q198" i="1"/>
  <c r="N242" i="1"/>
  <c r="Q242" i="1"/>
  <c r="N157" i="1"/>
  <c r="Q157" i="1"/>
  <c r="N86" i="1"/>
  <c r="Q86" i="1"/>
  <c r="N180" i="1"/>
  <c r="Q180" i="1"/>
  <c r="M299" i="1"/>
  <c r="Q299" i="1"/>
  <c r="M123" i="1"/>
  <c r="Q123" i="1"/>
  <c r="N60" i="1"/>
  <c r="Q60" i="1"/>
  <c r="N270" i="1"/>
  <c r="Q270" i="1"/>
  <c r="N18" i="1"/>
  <c r="Q18" i="1"/>
  <c r="N56" i="1"/>
  <c r="Q56" i="1"/>
  <c r="N96" i="1"/>
  <c r="Q96" i="1"/>
  <c r="N146" i="1"/>
  <c r="Q146" i="1"/>
  <c r="N45" i="1"/>
  <c r="Q45" i="1"/>
  <c r="N267" i="1"/>
  <c r="Q267" i="1"/>
  <c r="M195" i="1"/>
  <c r="Q195" i="1"/>
  <c r="M166" i="1"/>
  <c r="Q166" i="1"/>
  <c r="N227" i="1"/>
  <c r="Q227" i="1"/>
  <c r="M304" i="1"/>
  <c r="U304" i="1"/>
  <c r="M133" i="1"/>
  <c r="M19" i="1"/>
  <c r="M201" i="1"/>
  <c r="N70" i="1"/>
  <c r="M320" i="1"/>
  <c r="M62" i="1"/>
  <c r="M271" i="1"/>
  <c r="N172" i="1"/>
  <c r="N221" i="1"/>
  <c r="N142" i="1"/>
  <c r="M45" i="1"/>
  <c r="N31" i="1"/>
  <c r="M89" i="1"/>
  <c r="N203" i="1"/>
  <c r="M200" i="1"/>
  <c r="M339" i="1"/>
  <c r="N35" i="1"/>
  <c r="N104" i="1"/>
  <c r="M101" i="1"/>
  <c r="N194" i="1"/>
  <c r="M266" i="1"/>
  <c r="N299" i="1"/>
  <c r="M291" i="1"/>
  <c r="M305" i="1"/>
  <c r="M231" i="1"/>
  <c r="N151" i="1"/>
  <c r="M223" i="1"/>
  <c r="M23" i="1"/>
  <c r="N327" i="1"/>
  <c r="N16" i="1"/>
  <c r="M281" i="1"/>
  <c r="M10" i="1"/>
  <c r="N215" i="1"/>
  <c r="M311" i="1"/>
  <c r="N107" i="1"/>
  <c r="N38" i="1"/>
  <c r="M303" i="1"/>
  <c r="M36" i="1"/>
  <c r="M120" i="1"/>
  <c r="N272" i="1"/>
  <c r="N84" i="1"/>
  <c r="M81" i="1"/>
  <c r="N181" i="1"/>
  <c r="M258" i="1"/>
  <c r="M222" i="1"/>
  <c r="N323" i="1"/>
  <c r="N64" i="1"/>
  <c r="N308" i="1"/>
  <c r="N161" i="1"/>
  <c r="N124" i="1"/>
  <c r="M233" i="1"/>
  <c r="N264" i="1"/>
  <c r="N177" i="1"/>
  <c r="N24" i="1"/>
  <c r="N103" i="1"/>
  <c r="M73" i="1"/>
  <c r="N228" i="1"/>
  <c r="M51" i="1"/>
  <c r="M260" i="1"/>
  <c r="M189" i="1"/>
  <c r="N335" i="1"/>
  <c r="N182" i="1"/>
  <c r="M277" i="1"/>
  <c r="M318" i="1"/>
  <c r="N240" i="1"/>
  <c r="N119" i="1"/>
  <c r="N333" i="1"/>
  <c r="N91" i="1"/>
  <c r="N43" i="1"/>
  <c r="N117" i="1"/>
  <c r="M71" i="1"/>
  <c r="M146" i="1"/>
  <c r="N165" i="1"/>
  <c r="M267" i="1"/>
  <c r="M236" i="1"/>
  <c r="N276" i="1"/>
  <c r="N170" i="1"/>
  <c r="M229" i="1"/>
  <c r="M341" i="1"/>
  <c r="M188" i="1"/>
  <c r="N128" i="1"/>
  <c r="M284" i="1"/>
  <c r="N205" i="1"/>
  <c r="N261" i="1"/>
  <c r="M132" i="1"/>
  <c r="N232" i="1"/>
  <c r="N298" i="1"/>
  <c r="M125" i="1"/>
  <c r="M192" i="1"/>
  <c r="M39" i="1"/>
  <c r="M332" i="1"/>
  <c r="N139" i="1"/>
  <c r="N155" i="1"/>
  <c r="M29" i="1"/>
  <c r="N275" i="1"/>
  <c r="M253" i="1"/>
  <c r="M130" i="1"/>
  <c r="M59" i="1"/>
  <c r="M256" i="1"/>
  <c r="M179" i="1"/>
  <c r="M198" i="1"/>
  <c r="M158" i="1"/>
  <c r="M157" i="1"/>
  <c r="M102" i="1"/>
  <c r="N235" i="1"/>
  <c r="N195" i="1"/>
  <c r="M116" i="1"/>
  <c r="M331" i="1"/>
  <c r="N166" i="1"/>
  <c r="N224" i="1"/>
  <c r="N114" i="1"/>
  <c r="N55" i="1"/>
  <c r="M164" i="1"/>
  <c r="M152" i="1"/>
  <c r="N72" i="1"/>
  <c r="M154" i="1"/>
  <c r="M193" i="1"/>
  <c r="M216" i="1"/>
  <c r="N304" i="1"/>
  <c r="M77" i="1"/>
  <c r="M173" i="1"/>
  <c r="M40" i="1"/>
  <c r="M324" i="1"/>
  <c r="N251" i="1"/>
  <c r="M87" i="1"/>
  <c r="N184" i="1"/>
  <c r="N285" i="1"/>
  <c r="M296" i="1"/>
  <c r="N263" i="1"/>
  <c r="N121" i="1"/>
  <c r="N239" i="1"/>
  <c r="N49" i="1"/>
  <c r="N69" i="1"/>
  <c r="N153" i="1"/>
  <c r="N213" i="1"/>
  <c r="M169" i="1"/>
  <c r="N238" i="1"/>
  <c r="N295" i="1"/>
  <c r="M212" i="1"/>
  <c r="N99" i="1"/>
  <c r="N178" i="1"/>
  <c r="N141" i="1"/>
  <c r="M6" i="1"/>
  <c r="M131" i="1"/>
  <c r="M302" i="1"/>
  <c r="M54" i="1"/>
  <c r="M75" i="1"/>
  <c r="M68" i="1"/>
  <c r="M118" i="1"/>
  <c r="M242" i="1"/>
  <c r="M111" i="1"/>
  <c r="M86" i="1"/>
  <c r="N163" i="1"/>
  <c r="M7" i="1"/>
  <c r="N168" i="1"/>
  <c r="N48" i="1"/>
  <c r="N123" i="1"/>
  <c r="M247" i="1"/>
  <c r="N162" i="1"/>
  <c r="M230" i="1"/>
  <c r="M4" i="1"/>
  <c r="M254" i="1"/>
  <c r="M15" i="1"/>
  <c r="M329" i="1"/>
  <c r="M315" i="1"/>
  <c r="M95" i="1"/>
  <c r="M92" i="1"/>
  <c r="M292" i="1"/>
  <c r="M79" i="1"/>
  <c r="M30" i="1"/>
  <c r="M108" i="1"/>
  <c r="M257" i="1"/>
  <c r="M220" i="1"/>
  <c r="M58" i="1"/>
  <c r="M262" i="1"/>
  <c r="M47" i="1"/>
  <c r="M28" i="1"/>
  <c r="M100" i="1"/>
  <c r="M135" i="1"/>
  <c r="M227" i="1"/>
  <c r="M209" i="1"/>
  <c r="M26" i="1"/>
  <c r="N316" i="1"/>
  <c r="N94" i="1"/>
  <c r="N160" i="1"/>
  <c r="N78" i="1"/>
  <c r="N259" i="1"/>
  <c r="N326" i="1"/>
  <c r="N321" i="1"/>
  <c r="N250" i="1"/>
  <c r="N322" i="1"/>
  <c r="N273" i="1"/>
  <c r="N255" i="1"/>
  <c r="N190" i="1"/>
  <c r="N218" i="1"/>
  <c r="M67" i="1"/>
  <c r="M282" i="1"/>
  <c r="M180" i="1"/>
  <c r="M301" i="1"/>
  <c r="M9" i="1"/>
  <c r="N338" i="1"/>
  <c r="M243" i="1"/>
  <c r="M105" i="1"/>
  <c r="N274" i="1"/>
  <c r="N183" i="1"/>
  <c r="N249" i="1"/>
  <c r="N186" i="1"/>
  <c r="N27" i="1"/>
  <c r="N147" i="1"/>
  <c r="N167" i="1"/>
  <c r="N197" i="1"/>
  <c r="N143" i="1"/>
  <c r="N57" i="1"/>
  <c r="M33" i="1"/>
  <c r="M60" i="1"/>
  <c r="M270" i="1"/>
  <c r="M18" i="1"/>
  <c r="M56" i="1"/>
  <c r="M96" i="1"/>
  <c r="M307" i="1"/>
  <c r="M328" i="1"/>
  <c r="M52" i="1"/>
  <c r="M17" i="1"/>
  <c r="M106" i="1"/>
  <c r="M42" i="1"/>
  <c r="M32" i="1"/>
  <c r="N74" i="1"/>
  <c r="M74" i="1"/>
  <c r="N204" i="1"/>
  <c r="M204" i="1"/>
  <c r="N11" i="1"/>
  <c r="M11" i="1"/>
  <c r="N206" i="1"/>
  <c r="M206" i="1"/>
  <c r="N144" i="1"/>
  <c r="M144" i="1"/>
  <c r="N171" i="1"/>
  <c r="M171" i="1"/>
  <c r="N148" i="1"/>
  <c r="M148" i="1"/>
  <c r="N287" i="1"/>
  <c r="M287" i="1"/>
  <c r="N61" i="1"/>
  <c r="M61" i="1"/>
  <c r="N337" i="1"/>
  <c r="M337" i="1"/>
  <c r="N214" i="1"/>
  <c r="M214" i="1"/>
  <c r="N98" i="1"/>
  <c r="M98" i="1"/>
  <c r="N217" i="1"/>
  <c r="M217" i="1"/>
  <c r="N14" i="1"/>
  <c r="M14" i="1"/>
  <c r="N65" i="1"/>
  <c r="M65" i="1"/>
  <c r="N269" i="1"/>
  <c r="M269" i="1"/>
  <c r="N129" i="1"/>
  <c r="M129" i="1"/>
  <c r="N286" i="1"/>
  <c r="M286" i="1"/>
  <c r="N207" i="1"/>
  <c r="M207" i="1"/>
  <c r="N22" i="1"/>
  <c r="M22" i="1"/>
  <c r="N25" i="1"/>
  <c r="M25" i="1"/>
  <c r="M76" i="1"/>
  <c r="M293" i="1"/>
  <c r="M306" i="1"/>
  <c r="M137" i="1"/>
  <c r="M126" i="1"/>
  <c r="M122" i="1"/>
  <c r="M127" i="1"/>
  <c r="M278" i="1"/>
  <c r="M319" i="1"/>
  <c r="M211" i="1"/>
  <c r="M90" i="1"/>
  <c r="M244" i="1"/>
  <c r="M252" i="1"/>
  <c r="M219" i="1"/>
  <c r="M82" i="1"/>
  <c r="M159" i="1"/>
  <c r="M330" i="1"/>
  <c r="M88" i="1"/>
  <c r="M112" i="1"/>
  <c r="M85" i="1"/>
  <c r="M248" i="1"/>
  <c r="M226" i="1"/>
  <c r="M175" i="1"/>
  <c r="M310" i="1"/>
  <c r="M290" i="1"/>
  <c r="M93" i="1"/>
  <c r="M294" i="1"/>
  <c r="M280" i="1"/>
  <c r="M309" i="1"/>
  <c r="M265" i="1"/>
  <c r="M21" i="1"/>
  <c r="M176" i="1"/>
  <c r="M196" i="1"/>
  <c r="M342" i="1"/>
  <c r="M138" i="1"/>
  <c r="M317" i="1"/>
  <c r="M225" i="1"/>
  <c r="M187" i="1"/>
  <c r="N37" i="1"/>
  <c r="M37" i="1"/>
  <c r="N208" i="1"/>
  <c r="M208" i="1"/>
  <c r="N53" i="1"/>
  <c r="M53" i="1"/>
  <c r="N297" i="1"/>
  <c r="M297" i="1"/>
  <c r="N44" i="1"/>
  <c r="M44" i="1"/>
  <c r="N136" i="1"/>
  <c r="M136" i="1"/>
  <c r="N110" i="1"/>
  <c r="M110" i="1"/>
  <c r="N313" i="1"/>
  <c r="M313" i="1"/>
  <c r="N314" i="1"/>
  <c r="M314" i="1"/>
  <c r="N279" i="1"/>
  <c r="M279" i="1"/>
  <c r="N210" i="1"/>
  <c r="M210" i="1"/>
  <c r="N185" i="1"/>
  <c r="M185" i="1"/>
  <c r="N191" i="1"/>
  <c r="M191" i="1"/>
  <c r="N13" i="1"/>
  <c r="M13" i="1"/>
  <c r="N150" i="1"/>
  <c r="M150" i="1"/>
  <c r="N34" i="1"/>
  <c r="M34" i="1"/>
  <c r="N237" i="1"/>
  <c r="M237" i="1"/>
  <c r="N149" i="1"/>
  <c r="M149" i="1"/>
  <c r="N334" i="1"/>
  <c r="M334" i="1"/>
  <c r="N83" i="1"/>
  <c r="N283" i="1"/>
  <c r="N41" i="1"/>
  <c r="N46" i="1"/>
  <c r="N115" i="1"/>
  <c r="N156" i="1"/>
  <c r="N246" i="1"/>
  <c r="M246" i="1"/>
  <c r="M288" i="1"/>
  <c r="M241" i="1"/>
  <c r="M234" i="1"/>
  <c r="M3" i="1"/>
  <c r="M312" i="1"/>
  <c r="T149" i="1"/>
  <c r="S149" i="1"/>
  <c r="J149" i="1"/>
  <c r="R348" i="1" l="1"/>
  <c r="P348" i="1"/>
  <c r="L348" i="1"/>
  <c r="K348" i="1"/>
  <c r="I348" i="1"/>
  <c r="R347" i="1"/>
  <c r="P347" i="1"/>
  <c r="L347" i="1"/>
  <c r="K347" i="1"/>
  <c r="I347" i="1"/>
  <c r="R346" i="1"/>
  <c r="P346" i="1"/>
  <c r="L346" i="1"/>
  <c r="K346" i="1"/>
  <c r="I346" i="1"/>
  <c r="U149" i="1" l="1"/>
  <c r="T77" i="1"/>
  <c r="S77" i="1"/>
  <c r="J77" i="1"/>
  <c r="U77" i="1" l="1"/>
  <c r="E214" i="3"/>
  <c r="E213" i="3"/>
  <c r="E212" i="3"/>
  <c r="E211" i="3"/>
  <c r="E210" i="3"/>
  <c r="E209" i="3"/>
  <c r="H346" i="1"/>
  <c r="H348" i="1"/>
  <c r="H347" i="1"/>
  <c r="P12" i="5" l="1"/>
  <c r="O12" i="5"/>
  <c r="N12" i="5"/>
  <c r="P11" i="5"/>
  <c r="O11" i="5"/>
  <c r="N11" i="5"/>
  <c r="P10" i="5"/>
  <c r="O10" i="5"/>
  <c r="N10" i="5"/>
  <c r="P9" i="5"/>
  <c r="O9" i="5"/>
  <c r="N9" i="5"/>
  <c r="P8" i="5"/>
  <c r="O8" i="5"/>
  <c r="N8" i="5"/>
  <c r="P7" i="5"/>
  <c r="O7" i="5"/>
  <c r="N7" i="5"/>
  <c r="P6" i="5"/>
  <c r="O6" i="5"/>
  <c r="N6" i="5"/>
  <c r="P5" i="5"/>
  <c r="O5" i="5"/>
  <c r="N5" i="5"/>
  <c r="P4" i="5"/>
  <c r="O4" i="5"/>
  <c r="N4" i="5"/>
  <c r="P3" i="5"/>
  <c r="O3" i="5"/>
  <c r="N3" i="5"/>
  <c r="T289" i="1" l="1"/>
  <c r="S289" i="1"/>
  <c r="T20" i="1"/>
  <c r="S20" i="1"/>
  <c r="T113" i="1"/>
  <c r="S113" i="1"/>
  <c r="T63" i="1"/>
  <c r="S63" i="1"/>
  <c r="T66" i="1"/>
  <c r="S66" i="1"/>
  <c r="T5" i="1"/>
  <c r="S5" i="1"/>
  <c r="T300" i="1"/>
  <c r="S300" i="1"/>
  <c r="T340" i="1"/>
  <c r="S340" i="1"/>
  <c r="T50" i="1"/>
  <c r="S50" i="1"/>
  <c r="T145" i="1"/>
  <c r="S145" i="1"/>
  <c r="T140" i="1"/>
  <c r="S140" i="1"/>
  <c r="T336" i="1"/>
  <c r="S336" i="1"/>
  <c r="T97" i="1"/>
  <c r="S97" i="1"/>
  <c r="T325" i="1"/>
  <c r="S325" i="1"/>
  <c r="T134" i="1"/>
  <c r="S134" i="1"/>
  <c r="T92" i="1"/>
  <c r="S92" i="1"/>
  <c r="T264" i="1"/>
  <c r="S264" i="1"/>
  <c r="T127" i="1"/>
  <c r="S127" i="1"/>
  <c r="T65" i="1"/>
  <c r="S65" i="1"/>
  <c r="T262" i="1"/>
  <c r="S262" i="1"/>
  <c r="T64" i="1"/>
  <c r="S64" i="1"/>
  <c r="T270" i="1"/>
  <c r="S270" i="1"/>
  <c r="T53" i="1"/>
  <c r="S53" i="1"/>
  <c r="T217" i="1"/>
  <c r="S217" i="1"/>
  <c r="T259" i="1"/>
  <c r="S259" i="1"/>
  <c r="T181" i="1"/>
  <c r="S181" i="1"/>
  <c r="T297" i="1"/>
  <c r="S297" i="1"/>
  <c r="T261" i="1"/>
  <c r="S261" i="1"/>
  <c r="T303" i="1"/>
  <c r="S303" i="1"/>
  <c r="T111" i="1"/>
  <c r="S111" i="1"/>
  <c r="T29" i="1"/>
  <c r="S29" i="1"/>
  <c r="T279" i="1"/>
  <c r="S279" i="1"/>
  <c r="T48" i="1"/>
  <c r="S48" i="1"/>
  <c r="T72" i="1"/>
  <c r="S72" i="1"/>
  <c r="T195" i="1"/>
  <c r="S195" i="1"/>
  <c r="T331" i="1"/>
  <c r="S331" i="1"/>
  <c r="T199" i="1"/>
  <c r="S199" i="1"/>
  <c r="T75" i="1"/>
  <c r="S75" i="1"/>
  <c r="T68" i="1"/>
  <c r="S68" i="1"/>
  <c r="T74" i="1"/>
  <c r="S74" i="1"/>
  <c r="T299" i="1"/>
  <c r="S299" i="1"/>
  <c r="T210" i="1"/>
  <c r="S210" i="1"/>
  <c r="T211" i="1"/>
  <c r="S211" i="1"/>
  <c r="T56" i="1"/>
  <c r="S56" i="1"/>
  <c r="T200" i="1"/>
  <c r="S200" i="1"/>
  <c r="T36" i="1"/>
  <c r="S36" i="1"/>
  <c r="T186" i="1"/>
  <c r="S186" i="1"/>
  <c r="T34" i="1"/>
  <c r="S34" i="1"/>
  <c r="T288" i="1"/>
  <c r="S288" i="1"/>
  <c r="T46" i="1"/>
  <c r="S46" i="1"/>
  <c r="T152" i="1"/>
  <c r="S152" i="1"/>
  <c r="T276" i="1"/>
  <c r="S276" i="1"/>
  <c r="T267" i="1"/>
  <c r="S267" i="1"/>
  <c r="T71" i="1"/>
  <c r="S71" i="1"/>
  <c r="T263" i="1"/>
  <c r="S263" i="1"/>
  <c r="T93" i="1"/>
  <c r="S93" i="1"/>
  <c r="T339" i="1"/>
  <c r="S339" i="1"/>
  <c r="T294" i="1"/>
  <c r="S294" i="1"/>
  <c r="T106" i="1"/>
  <c r="S106" i="1"/>
  <c r="T302" i="1"/>
  <c r="S302" i="1"/>
  <c r="T260" i="1"/>
  <c r="S260" i="1"/>
  <c r="T291" i="1"/>
  <c r="S291" i="1"/>
  <c r="T32" i="1"/>
  <c r="S32" i="1"/>
  <c r="T177" i="1"/>
  <c r="S177" i="1"/>
  <c r="T43" i="1"/>
  <c r="S43" i="1"/>
  <c r="T157" i="1"/>
  <c r="S157" i="1"/>
  <c r="T142" i="1"/>
  <c r="S142" i="1"/>
  <c r="T114" i="1"/>
  <c r="S114" i="1"/>
  <c r="T283" i="1"/>
  <c r="S283" i="1"/>
  <c r="T13" i="1"/>
  <c r="S13" i="1"/>
  <c r="T86" i="1"/>
  <c r="S86" i="1"/>
  <c r="T179" i="1"/>
  <c r="S179" i="1"/>
  <c r="T180" i="1"/>
  <c r="S180" i="1"/>
  <c r="T11" i="1"/>
  <c r="S11" i="1"/>
  <c r="T183" i="1"/>
  <c r="S183" i="1"/>
  <c r="T258" i="1"/>
  <c r="S258" i="1"/>
  <c r="T256" i="1"/>
  <c r="S256" i="1"/>
  <c r="T19" i="1"/>
  <c r="S19" i="1"/>
  <c r="T269" i="1"/>
  <c r="S269" i="1"/>
  <c r="T185" i="1"/>
  <c r="S185" i="1"/>
  <c r="T237" i="1"/>
  <c r="S237" i="1"/>
  <c r="T165" i="1"/>
  <c r="S165" i="1"/>
  <c r="T334" i="1"/>
  <c r="S334" i="1"/>
  <c r="T62" i="1"/>
  <c r="S62" i="1"/>
  <c r="T96" i="1"/>
  <c r="S96" i="1"/>
  <c r="T209" i="1"/>
  <c r="S209" i="1"/>
  <c r="T244" i="1"/>
  <c r="S244" i="1"/>
  <c r="T98" i="1"/>
  <c r="S98" i="1"/>
  <c r="T42" i="1"/>
  <c r="S42" i="1"/>
  <c r="T235" i="1"/>
  <c r="S235" i="1"/>
  <c r="T138" i="1"/>
  <c r="S138" i="1"/>
  <c r="T7" i="1"/>
  <c r="S7" i="1"/>
  <c r="T26" i="1"/>
  <c r="S26" i="1"/>
  <c r="T187" i="1"/>
  <c r="S187" i="1"/>
  <c r="T99" i="1"/>
  <c r="S99" i="1"/>
  <c r="T130" i="1"/>
  <c r="S130" i="1"/>
  <c r="T311" i="1"/>
  <c r="S311" i="1"/>
  <c r="T328" i="1"/>
  <c r="S328" i="1"/>
  <c r="T342" i="1"/>
  <c r="S342" i="1"/>
  <c r="T296" i="1"/>
  <c r="S296" i="1"/>
  <c r="T14" i="1"/>
  <c r="S14" i="1"/>
  <c r="T59" i="1"/>
  <c r="S59" i="1"/>
  <c r="T265" i="1"/>
  <c r="S265" i="1"/>
  <c r="T282" i="1"/>
  <c r="S282" i="1"/>
  <c r="T33" i="1"/>
  <c r="S33" i="1"/>
  <c r="T100" i="1"/>
  <c r="S100" i="1"/>
  <c r="T22" i="1"/>
  <c r="S22" i="1"/>
  <c r="T247" i="1"/>
  <c r="S247" i="1"/>
  <c r="T147" i="1"/>
  <c r="S147" i="1"/>
  <c r="T207" i="1"/>
  <c r="S207" i="1"/>
  <c r="T18" i="1"/>
  <c r="S18" i="1"/>
  <c r="T110" i="1"/>
  <c r="S110" i="1"/>
  <c r="T146" i="1"/>
  <c r="S146" i="1"/>
  <c r="T240" i="1"/>
  <c r="S240" i="1"/>
  <c r="T67" i="1"/>
  <c r="S67" i="1"/>
  <c r="T45" i="1"/>
  <c r="S45" i="1"/>
  <c r="T104" i="1"/>
  <c r="S104" i="1"/>
  <c r="T6" i="1"/>
  <c r="S6" i="1"/>
  <c r="T44" i="1"/>
  <c r="S44" i="1"/>
  <c r="T266" i="1"/>
  <c r="S266" i="1"/>
  <c r="T150" i="1"/>
  <c r="S150" i="1"/>
  <c r="T314" i="1"/>
  <c r="S314" i="1"/>
  <c r="T204" i="1"/>
  <c r="S204" i="1"/>
  <c r="T129" i="1"/>
  <c r="S129" i="1"/>
  <c r="T301" i="1"/>
  <c r="S301" i="1"/>
  <c r="T166" i="1"/>
  <c r="S166" i="1"/>
  <c r="T192" i="1"/>
  <c r="S192" i="1"/>
  <c r="T213" i="1"/>
  <c r="S213" i="1"/>
  <c r="T35" i="1"/>
  <c r="S35" i="1"/>
  <c r="T228" i="1"/>
  <c r="S228" i="1"/>
  <c r="T116" i="1"/>
  <c r="S116" i="1"/>
  <c r="T214" i="1"/>
  <c r="S214" i="1"/>
  <c r="T215" i="1"/>
  <c r="S215" i="1"/>
  <c r="T107" i="1"/>
  <c r="S107" i="1"/>
  <c r="T25" i="1"/>
  <c r="S25" i="1"/>
  <c r="T310" i="1"/>
  <c r="S310" i="1"/>
  <c r="T101" i="1"/>
  <c r="S101" i="1"/>
  <c r="T31" i="1"/>
  <c r="S31" i="1"/>
  <c r="T220" i="1"/>
  <c r="S220" i="1"/>
  <c r="T28" i="1"/>
  <c r="S28" i="1"/>
  <c r="T208" i="1"/>
  <c r="S208" i="1"/>
  <c r="T73" i="1"/>
  <c r="S73" i="1"/>
  <c r="T161" i="1"/>
  <c r="S161" i="1"/>
  <c r="T246" i="1"/>
  <c r="S246" i="1"/>
  <c r="T55" i="1"/>
  <c r="S55" i="1"/>
  <c r="T118" i="1"/>
  <c r="S118" i="1"/>
  <c r="T102" i="1"/>
  <c r="S102" i="1"/>
  <c r="T38" i="1"/>
  <c r="S38" i="1"/>
  <c r="T178" i="1"/>
  <c r="S178" i="1"/>
  <c r="T83" i="1"/>
  <c r="S83" i="1"/>
  <c r="T242" i="1"/>
  <c r="S242" i="1"/>
  <c r="T327" i="1"/>
  <c r="S327" i="1"/>
  <c r="T212" i="1"/>
  <c r="S212" i="1"/>
  <c r="T169" i="1"/>
  <c r="S169" i="1"/>
  <c r="T193" i="1"/>
  <c r="S193" i="1"/>
  <c r="T162" i="1"/>
  <c r="S162" i="1"/>
  <c r="T198" i="1"/>
  <c r="S198" i="1"/>
  <c r="T47" i="1"/>
  <c r="S47" i="1"/>
  <c r="T333" i="1"/>
  <c r="S333" i="1"/>
  <c r="T286" i="1"/>
  <c r="S286" i="1"/>
  <c r="T221" i="1"/>
  <c r="S221" i="1"/>
  <c r="T172" i="1"/>
  <c r="S172" i="1"/>
  <c r="T175" i="1"/>
  <c r="S175" i="1"/>
  <c r="T227" i="1"/>
  <c r="S227" i="1"/>
  <c r="T337" i="1"/>
  <c r="S337" i="1"/>
  <c r="T196" i="1"/>
  <c r="S196" i="1"/>
  <c r="T332" i="1"/>
  <c r="S332" i="1"/>
  <c r="T176" i="1"/>
  <c r="S176" i="1"/>
  <c r="T326" i="1"/>
  <c r="S326" i="1"/>
  <c r="T167" i="1"/>
  <c r="S167" i="1"/>
  <c r="T184" i="1"/>
  <c r="S184" i="1"/>
  <c r="T239" i="1"/>
  <c r="S239" i="1"/>
  <c r="T317" i="1"/>
  <c r="S317" i="1"/>
  <c r="T206" i="1"/>
  <c r="S206" i="1"/>
  <c r="T285" i="1"/>
  <c r="S285" i="1"/>
  <c r="T274" i="1"/>
  <c r="S274" i="1"/>
  <c r="T117" i="1"/>
  <c r="S117" i="1"/>
  <c r="T16" i="1"/>
  <c r="S16" i="1"/>
  <c r="T281" i="1"/>
  <c r="S281" i="1"/>
  <c r="T154" i="1"/>
  <c r="S154" i="1"/>
  <c r="T143" i="1"/>
  <c r="S143" i="1"/>
  <c r="T159" i="1"/>
  <c r="S159" i="1"/>
  <c r="T87" i="1"/>
  <c r="S87" i="1"/>
  <c r="T319" i="1"/>
  <c r="S319" i="1"/>
  <c r="T236" i="1"/>
  <c r="S236" i="1"/>
  <c r="T57" i="1"/>
  <c r="S57" i="1"/>
  <c r="T144" i="1"/>
  <c r="S144" i="1"/>
  <c r="T287" i="1"/>
  <c r="S287" i="1"/>
  <c r="T225" i="1"/>
  <c r="S225" i="1"/>
  <c r="T338" i="1"/>
  <c r="S338" i="1"/>
  <c r="T309" i="1"/>
  <c r="S309" i="1"/>
  <c r="T105" i="1"/>
  <c r="S105" i="1"/>
  <c r="T60" i="1"/>
  <c r="S60" i="1"/>
  <c r="T272" i="1"/>
  <c r="S272" i="1"/>
  <c r="T248" i="1"/>
  <c r="S248" i="1"/>
  <c r="T203" i="1"/>
  <c r="S203" i="1"/>
  <c r="T335" i="1"/>
  <c r="S335" i="1"/>
  <c r="T108" i="1"/>
  <c r="S108" i="1"/>
  <c r="T170" i="1"/>
  <c r="S170" i="1"/>
  <c r="T168" i="1"/>
  <c r="S168" i="1"/>
  <c r="T120" i="1"/>
  <c r="S120" i="1"/>
  <c r="T290" i="1"/>
  <c r="S290" i="1"/>
  <c r="T52" i="1"/>
  <c r="S52" i="1"/>
  <c r="T41" i="1"/>
  <c r="S41" i="1"/>
  <c r="T153" i="1"/>
  <c r="S153" i="1"/>
  <c r="T320" i="1"/>
  <c r="S320" i="1"/>
  <c r="T191" i="1"/>
  <c r="S191" i="1"/>
  <c r="T51" i="1"/>
  <c r="S51" i="1"/>
  <c r="T54" i="1"/>
  <c r="S54" i="1"/>
  <c r="T201" i="1"/>
  <c r="S201" i="1"/>
  <c r="T318" i="1"/>
  <c r="S318" i="1"/>
  <c r="T275" i="1"/>
  <c r="S275" i="1"/>
  <c r="T9" i="1"/>
  <c r="S9" i="1"/>
  <c r="T224" i="1"/>
  <c r="S224" i="1"/>
  <c r="T49" i="1"/>
  <c r="S49" i="1"/>
  <c r="T188" i="1"/>
  <c r="S188" i="1"/>
  <c r="T182" i="1"/>
  <c r="S182" i="1"/>
  <c r="T123" i="1"/>
  <c r="S123" i="1"/>
  <c r="T277" i="1"/>
  <c r="S277" i="1"/>
  <c r="T295" i="1"/>
  <c r="S295" i="1"/>
  <c r="T322" i="1"/>
  <c r="S322" i="1"/>
  <c r="T124" i="1"/>
  <c r="S124" i="1"/>
  <c r="T27" i="1"/>
  <c r="S27" i="1"/>
  <c r="T69" i="1"/>
  <c r="S69" i="1"/>
  <c r="T121" i="1"/>
  <c r="S121" i="1"/>
  <c r="T10" i="1"/>
  <c r="S10" i="1"/>
  <c r="T164" i="1"/>
  <c r="S164" i="1"/>
  <c r="T341" i="1"/>
  <c r="S341" i="1"/>
  <c r="T122" i="1"/>
  <c r="S122" i="1"/>
  <c r="T238" i="1"/>
  <c r="S238" i="1"/>
  <c r="T115" i="1"/>
  <c r="S115" i="1"/>
  <c r="T4" i="1"/>
  <c r="S4" i="1"/>
  <c r="T81" i="1"/>
  <c r="S81" i="1"/>
  <c r="T23" i="1"/>
  <c r="S23" i="1"/>
  <c r="T155" i="1"/>
  <c r="S155" i="1"/>
  <c r="T298" i="1"/>
  <c r="S298" i="1"/>
  <c r="T135" i="1"/>
  <c r="S135" i="1"/>
  <c r="T156" i="1"/>
  <c r="S156" i="1"/>
  <c r="T243" i="1"/>
  <c r="S243" i="1"/>
  <c r="T280" i="1"/>
  <c r="S280" i="1"/>
  <c r="T324" i="1"/>
  <c r="S324" i="1"/>
  <c r="T58" i="1"/>
  <c r="S58" i="1"/>
  <c r="T253" i="1"/>
  <c r="S253" i="1"/>
  <c r="T79" i="1"/>
  <c r="S79" i="1"/>
  <c r="T257" i="1"/>
  <c r="S257" i="1"/>
  <c r="T17" i="1"/>
  <c r="S17" i="1"/>
  <c r="T293" i="1"/>
  <c r="S293" i="1"/>
  <c r="T112" i="1"/>
  <c r="S112" i="1"/>
  <c r="T103" i="1"/>
  <c r="S103" i="1"/>
  <c r="T306" i="1"/>
  <c r="S306" i="1"/>
  <c r="T40" i="1"/>
  <c r="S40" i="1"/>
  <c r="T321" i="1"/>
  <c r="S321" i="1"/>
  <c r="T171" i="1"/>
  <c r="S171" i="1"/>
  <c r="T313" i="1"/>
  <c r="S313" i="1"/>
  <c r="T85" i="1"/>
  <c r="S85" i="1"/>
  <c r="T70" i="1"/>
  <c r="S70" i="1"/>
  <c r="T131" i="1"/>
  <c r="S131" i="1"/>
  <c r="T189" i="1"/>
  <c r="S189" i="1"/>
  <c r="T37" i="1"/>
  <c r="S37" i="1"/>
  <c r="T216" i="1"/>
  <c r="S216" i="1"/>
  <c r="T78" i="1"/>
  <c r="S78" i="1"/>
  <c r="T330" i="1"/>
  <c r="S330" i="1"/>
  <c r="T163" i="1"/>
  <c r="S163" i="1"/>
  <c r="T231" i="1"/>
  <c r="S231" i="1"/>
  <c r="T273" i="1"/>
  <c r="S273" i="1"/>
  <c r="T128" i="1"/>
  <c r="S128" i="1"/>
  <c r="T141" i="1"/>
  <c r="S141" i="1"/>
  <c r="T249" i="1"/>
  <c r="S249" i="1"/>
  <c r="T24" i="1"/>
  <c r="S24" i="1"/>
  <c r="T307" i="1"/>
  <c r="S307" i="1"/>
  <c r="T197" i="1"/>
  <c r="S197" i="1"/>
  <c r="T194" i="1"/>
  <c r="S194" i="1"/>
  <c r="T136" i="1"/>
  <c r="S136" i="1"/>
  <c r="T21" i="1"/>
  <c r="S21" i="1"/>
  <c r="T278" i="1"/>
  <c r="S278" i="1"/>
  <c r="T190" i="1"/>
  <c r="S190" i="1"/>
  <c r="T119" i="1"/>
  <c r="S119" i="1"/>
  <c r="T308" i="1"/>
  <c r="S308" i="1"/>
  <c r="T148" i="1"/>
  <c r="S148" i="1"/>
  <c r="T61" i="1"/>
  <c r="S61" i="1"/>
  <c r="T316" i="1"/>
  <c r="S316" i="1"/>
  <c r="T137" i="1"/>
  <c r="S137" i="1"/>
  <c r="T151" i="1"/>
  <c r="S151" i="1"/>
  <c r="T125" i="1"/>
  <c r="S125" i="1"/>
  <c r="T223" i="1"/>
  <c r="S223" i="1"/>
  <c r="T82" i="1"/>
  <c r="S82" i="1"/>
  <c r="T30" i="1"/>
  <c r="S30" i="1"/>
  <c r="T205" i="1"/>
  <c r="S205" i="1"/>
  <c r="T126" i="1"/>
  <c r="S126" i="1"/>
  <c r="T229" i="1"/>
  <c r="S229" i="1"/>
  <c r="T312" i="1"/>
  <c r="S312" i="1"/>
  <c r="T84" i="1"/>
  <c r="S84" i="1"/>
  <c r="T133" i="1"/>
  <c r="S133" i="1"/>
  <c r="T219" i="1"/>
  <c r="S219" i="1"/>
  <c r="T222" i="1"/>
  <c r="S222" i="1"/>
  <c r="T139" i="1"/>
  <c r="S139" i="1"/>
  <c r="T255" i="1"/>
  <c r="S255" i="1"/>
  <c r="T158" i="1"/>
  <c r="S158" i="1"/>
  <c r="T160" i="1"/>
  <c r="S160" i="1"/>
  <c r="T89" i="1"/>
  <c r="S89" i="1"/>
  <c r="T252" i="1"/>
  <c r="S252" i="1"/>
  <c r="T233" i="1"/>
  <c r="S233" i="1"/>
  <c r="T323" i="1"/>
  <c r="S323" i="1"/>
  <c r="T173" i="1"/>
  <c r="S173" i="1"/>
  <c r="T39" i="1"/>
  <c r="S39" i="1"/>
  <c r="T315" i="1"/>
  <c r="S315" i="1"/>
  <c r="T88" i="1"/>
  <c r="S88" i="1"/>
  <c r="T271" i="1"/>
  <c r="S271" i="1"/>
  <c r="T230" i="1"/>
  <c r="S230" i="1"/>
  <c r="T76" i="1"/>
  <c r="S76" i="1"/>
  <c r="T90" i="1"/>
  <c r="S90" i="1"/>
  <c r="T3" i="1"/>
  <c r="S3" i="1"/>
  <c r="T254" i="1"/>
  <c r="S254" i="1"/>
  <c r="T132" i="1"/>
  <c r="S132" i="1"/>
  <c r="T95" i="1"/>
  <c r="S95" i="1"/>
  <c r="T241" i="1"/>
  <c r="S241" i="1"/>
  <c r="T91" i="1"/>
  <c r="S91" i="1"/>
  <c r="T329" i="1"/>
  <c r="S329" i="1"/>
  <c r="T234" i="1"/>
  <c r="S234" i="1"/>
  <c r="T251" i="1"/>
  <c r="S251" i="1"/>
  <c r="T226" i="1"/>
  <c r="S226" i="1"/>
  <c r="T250" i="1"/>
  <c r="S250" i="1"/>
  <c r="T94" i="1"/>
  <c r="S94" i="1"/>
  <c r="T232" i="1"/>
  <c r="S232" i="1"/>
  <c r="T292" i="1"/>
  <c r="S292" i="1"/>
  <c r="T284" i="1"/>
  <c r="S284" i="1"/>
  <c r="T218" i="1"/>
  <c r="S218" i="1"/>
  <c r="T305" i="1"/>
  <c r="S305" i="1"/>
  <c r="T15" i="1"/>
  <c r="S15" i="1"/>
  <c r="T304" i="1"/>
  <c r="S304" i="1"/>
  <c r="J289" i="1"/>
  <c r="J5" i="1"/>
  <c r="J20" i="1"/>
  <c r="J340" i="1"/>
  <c r="J113" i="1"/>
  <c r="J336" i="1"/>
  <c r="J300" i="1"/>
  <c r="J134" i="1"/>
  <c r="J334" i="1"/>
  <c r="J288" i="1"/>
  <c r="J150" i="1"/>
  <c r="J291" i="1"/>
  <c r="J106" i="1"/>
  <c r="J331" i="1"/>
  <c r="J114" i="1"/>
  <c r="J32" i="1"/>
  <c r="J42" i="1"/>
  <c r="J43" i="1"/>
  <c r="J236" i="1"/>
  <c r="J53" i="1"/>
  <c r="J17" i="1"/>
  <c r="J224" i="1"/>
  <c r="J100" i="1"/>
  <c r="J314" i="1"/>
  <c r="J135" i="1"/>
  <c r="J45" i="1"/>
  <c r="J104" i="1"/>
  <c r="J328" i="1"/>
  <c r="J123" i="1"/>
  <c r="J25" i="1"/>
  <c r="J191" i="1"/>
  <c r="J38" i="1"/>
  <c r="J210" i="1"/>
  <c r="J185" i="1"/>
  <c r="J267" i="1"/>
  <c r="J55" i="1"/>
  <c r="J313" i="1"/>
  <c r="J162" i="1"/>
  <c r="J18" i="1"/>
  <c r="J56" i="1"/>
  <c r="J136" i="1"/>
  <c r="J247" i="1"/>
  <c r="J22" i="1"/>
  <c r="J35" i="1"/>
  <c r="J164" i="1"/>
  <c r="J215" i="1"/>
  <c r="J241" i="1"/>
  <c r="J221" i="1"/>
  <c r="J37" i="1"/>
  <c r="J86" i="1"/>
  <c r="J81" i="1"/>
  <c r="J165" i="1"/>
  <c r="J286" i="1"/>
  <c r="J57" i="1"/>
  <c r="J83" i="1"/>
  <c r="J311" i="1"/>
  <c r="J163" i="1"/>
  <c r="J60" i="1"/>
  <c r="J51" i="1"/>
  <c r="J319" i="1"/>
  <c r="J168" i="1"/>
  <c r="J98" i="1"/>
  <c r="J115" i="1"/>
  <c r="J194" i="1"/>
  <c r="J144" i="1"/>
  <c r="J101" i="1"/>
  <c r="J295" i="1"/>
  <c r="J119" i="1"/>
  <c r="J3" i="1"/>
  <c r="J132" i="1"/>
  <c r="J280" i="1"/>
  <c r="J234" i="1"/>
  <c r="J205" i="1"/>
  <c r="J226" i="1"/>
  <c r="J323" i="1"/>
  <c r="J304" i="1"/>
  <c r="J34" i="1"/>
  <c r="J279" i="1"/>
  <c r="J200" i="1"/>
  <c r="J143" i="1"/>
  <c r="J124" i="1"/>
  <c r="J249" i="1"/>
  <c r="J31" i="1"/>
  <c r="J39" i="1"/>
  <c r="J84" i="1"/>
  <c r="J30" i="1"/>
  <c r="J218" i="1"/>
  <c r="J145" i="1"/>
  <c r="J63" i="1"/>
  <c r="J140" i="1"/>
  <c r="J66" i="1"/>
  <c r="J50" i="1"/>
  <c r="J97" i="1"/>
  <c r="J325" i="1"/>
  <c r="J92" i="1"/>
  <c r="J13" i="1"/>
  <c r="J65" i="1"/>
  <c r="J181" i="1"/>
  <c r="J302" i="1"/>
  <c r="J166" i="1"/>
  <c r="J270" i="1"/>
  <c r="J264" i="1"/>
  <c r="J303" i="1"/>
  <c r="J96" i="1"/>
  <c r="J237" i="1"/>
  <c r="J116" i="1"/>
  <c r="J71" i="1"/>
  <c r="J217" i="1"/>
  <c r="J48" i="1"/>
  <c r="J195" i="1"/>
  <c r="J146" i="1"/>
  <c r="J142" i="1"/>
  <c r="J72" i="1"/>
  <c r="J186" i="1"/>
  <c r="J110" i="1"/>
  <c r="J127" i="1"/>
  <c r="J312" i="1"/>
  <c r="J170" i="1"/>
  <c r="J193" i="1"/>
  <c r="J33" i="1"/>
  <c r="J117" i="1"/>
  <c r="J93" i="1"/>
  <c r="J209" i="1"/>
  <c r="J74" i="1"/>
  <c r="J7" i="1"/>
  <c r="J152" i="1"/>
  <c r="J197" i="1"/>
  <c r="J64" i="1"/>
  <c r="J44" i="1"/>
  <c r="J180" i="1"/>
  <c r="J246" i="1"/>
  <c r="J199" i="1"/>
  <c r="J269" i="1"/>
  <c r="J179" i="1"/>
  <c r="J339" i="1"/>
  <c r="J26" i="1"/>
  <c r="J16" i="1"/>
  <c r="J206" i="1"/>
  <c r="J297" i="1"/>
  <c r="J256" i="1"/>
  <c r="J208" i="1"/>
  <c r="J107" i="1"/>
  <c r="J9" i="1"/>
  <c r="J211" i="1"/>
  <c r="J36" i="1"/>
  <c r="J299" i="1"/>
  <c r="J153" i="1"/>
  <c r="J141" i="1"/>
  <c r="J118" i="1"/>
  <c r="J262" i="1"/>
  <c r="J177" i="1"/>
  <c r="J68" i="1"/>
  <c r="J111" i="1"/>
  <c r="J11" i="1"/>
  <c r="J62" i="1"/>
  <c r="J301" i="1"/>
  <c r="J147" i="1"/>
  <c r="J14" i="1"/>
  <c r="J204" i="1"/>
  <c r="J54" i="1"/>
  <c r="J178" i="1"/>
  <c r="J70" i="1"/>
  <c r="J214" i="1"/>
  <c r="J235" i="1"/>
  <c r="J6" i="1"/>
  <c r="J28" i="1"/>
  <c r="J337" i="1"/>
  <c r="J75" i="1"/>
  <c r="J41" i="1"/>
  <c r="J171" i="1"/>
  <c r="J176" i="1"/>
  <c r="J294" i="1"/>
  <c r="J27" i="1"/>
  <c r="J261" i="1"/>
  <c r="J138" i="1"/>
  <c r="J46" i="1"/>
  <c r="J129" i="1"/>
  <c r="J67" i="1"/>
  <c r="J157" i="1"/>
  <c r="J240" i="1"/>
  <c r="J274" i="1"/>
  <c r="J183" i="1"/>
  <c r="J24" i="1"/>
  <c r="J282" i="1"/>
  <c r="J276" i="1"/>
  <c r="J167" i="1"/>
  <c r="J242" i="1"/>
  <c r="J225" i="1"/>
  <c r="J59" i="1"/>
  <c r="J259" i="1"/>
  <c r="J154" i="1"/>
  <c r="J342" i="1"/>
  <c r="J69" i="1"/>
  <c r="J10" i="1"/>
  <c r="J105" i="1"/>
  <c r="J238" i="1"/>
  <c r="J19" i="1"/>
  <c r="J130" i="1"/>
  <c r="J266" i="1"/>
  <c r="J243" i="1"/>
  <c r="J263" i="1"/>
  <c r="J287" i="1"/>
  <c r="J29" i="1"/>
  <c r="J207" i="1"/>
  <c r="J156" i="1"/>
  <c r="J102" i="1"/>
  <c r="J198" i="1"/>
  <c r="J333" i="1"/>
  <c r="J158" i="1"/>
  <c r="J203" i="1"/>
  <c r="J228" i="1"/>
  <c r="J244" i="1"/>
  <c r="J317" i="1"/>
  <c r="J175" i="1"/>
  <c r="J4" i="1"/>
  <c r="J309" i="1"/>
  <c r="J283" i="1"/>
  <c r="J99" i="1"/>
  <c r="J131" i="1"/>
  <c r="J139" i="1"/>
  <c r="J212" i="1"/>
  <c r="J253" i="1"/>
  <c r="J49" i="1"/>
  <c r="J73" i="1"/>
  <c r="J213" i="1"/>
  <c r="J192" i="1"/>
  <c r="J161" i="1"/>
  <c r="J281" i="1"/>
  <c r="J103" i="1"/>
  <c r="J260" i="1"/>
  <c r="J23" i="1"/>
  <c r="J169" i="1"/>
  <c r="J21" i="1"/>
  <c r="J121" i="1"/>
  <c r="J133" i="1"/>
  <c r="J187" i="1"/>
  <c r="J125" i="1"/>
  <c r="J248" i="1"/>
  <c r="J327" i="1"/>
  <c r="J155" i="1"/>
  <c r="J258" i="1"/>
  <c r="J159" i="1"/>
  <c r="J275" i="1"/>
  <c r="J148" i="1"/>
  <c r="J220" i="1"/>
  <c r="J332" i="1"/>
  <c r="J265" i="1"/>
  <c r="J233" i="1"/>
  <c r="J47" i="1"/>
  <c r="J296" i="1"/>
  <c r="J277" i="1"/>
  <c r="J172" i="1"/>
  <c r="J239" i="1"/>
  <c r="J61" i="1"/>
  <c r="J85" i="1"/>
  <c r="J196" i="1"/>
  <c r="J216" i="1"/>
  <c r="J318" i="1"/>
  <c r="J290" i="1"/>
  <c r="J227" i="1"/>
  <c r="J310" i="1"/>
  <c r="J341" i="1"/>
  <c r="J272" i="1"/>
  <c r="J219" i="1"/>
  <c r="J182" i="1"/>
  <c r="J188" i="1"/>
  <c r="J112" i="1"/>
  <c r="J285" i="1"/>
  <c r="J298" i="1"/>
  <c r="J108" i="1"/>
  <c r="J201" i="1"/>
  <c r="J87" i="1"/>
  <c r="J322" i="1"/>
  <c r="J223" i="1"/>
  <c r="J308" i="1"/>
  <c r="J338" i="1"/>
  <c r="J88" i="1"/>
  <c r="J40" i="1"/>
  <c r="J284" i="1"/>
  <c r="J321" i="1"/>
  <c r="J335" i="1"/>
  <c r="J79" i="1"/>
  <c r="J52" i="1"/>
  <c r="J120" i="1"/>
  <c r="J330" i="1"/>
  <c r="J82" i="1"/>
  <c r="J271" i="1"/>
  <c r="J324" i="1"/>
  <c r="J58" i="1"/>
  <c r="J189" i="1"/>
  <c r="J255" i="1"/>
  <c r="J307" i="1"/>
  <c r="J128" i="1"/>
  <c r="J257" i="1"/>
  <c r="J184" i="1"/>
  <c r="J151" i="1"/>
  <c r="J320" i="1"/>
  <c r="J230" i="1"/>
  <c r="J273" i="1"/>
  <c r="J90" i="1"/>
  <c r="J222" i="1"/>
  <c r="J229" i="1"/>
  <c r="J78" i="1"/>
  <c r="J126" i="1"/>
  <c r="J190" i="1"/>
  <c r="J326" i="1"/>
  <c r="J231" i="1"/>
  <c r="J94" i="1"/>
  <c r="J15" i="1"/>
  <c r="J95" i="1"/>
  <c r="J278" i="1"/>
  <c r="J173" i="1"/>
  <c r="J252" i="1"/>
  <c r="J137" i="1"/>
  <c r="J160" i="1"/>
  <c r="J250" i="1"/>
  <c r="J251" i="1"/>
  <c r="J293" i="1"/>
  <c r="J122" i="1"/>
  <c r="J91" i="1"/>
  <c r="J315" i="1"/>
  <c r="J306" i="1"/>
  <c r="J232" i="1"/>
  <c r="J254" i="1"/>
  <c r="J89" i="1"/>
  <c r="J316" i="1"/>
  <c r="J329" i="1"/>
  <c r="J292" i="1"/>
  <c r="J76" i="1"/>
  <c r="J305" i="1"/>
  <c r="S347" i="1" l="1"/>
  <c r="S348" i="1"/>
  <c r="T347" i="1"/>
  <c r="T348" i="1"/>
  <c r="J347" i="1"/>
  <c r="J346" i="1"/>
  <c r="J348" i="1"/>
  <c r="U241" i="1" l="1"/>
  <c r="U218" i="1" l="1"/>
  <c r="U289" i="1"/>
  <c r="U20" i="1"/>
  <c r="U340" i="1"/>
  <c r="U336" i="1"/>
  <c r="U300" i="1"/>
  <c r="U140" i="1"/>
  <c r="U50" i="1"/>
  <c r="U134" i="1"/>
  <c r="U325" i="1"/>
  <c r="U150" i="1"/>
  <c r="U288" i="1"/>
  <c r="U92" i="1"/>
  <c r="U34" i="1"/>
  <c r="U291" i="1"/>
  <c r="U106" i="1"/>
  <c r="U279" i="1"/>
  <c r="U114" i="1"/>
  <c r="U32" i="1"/>
  <c r="U13" i="1"/>
  <c r="U43" i="1"/>
  <c r="U236" i="1"/>
  <c r="U65" i="1"/>
  <c r="U181" i="1"/>
  <c r="U53" i="1"/>
  <c r="U302" i="1"/>
  <c r="U17" i="1"/>
  <c r="U166" i="1"/>
  <c r="U270" i="1"/>
  <c r="U264" i="1"/>
  <c r="U314" i="1"/>
  <c r="U303" i="1"/>
  <c r="U135" i="1"/>
  <c r="U237" i="1"/>
  <c r="U116" i="1"/>
  <c r="U45" i="1"/>
  <c r="U217" i="1"/>
  <c r="U48" i="1"/>
  <c r="U142" i="1"/>
  <c r="U72" i="1"/>
  <c r="U104" i="1"/>
  <c r="U123" i="1"/>
  <c r="U25" i="1"/>
  <c r="U127" i="1"/>
  <c r="U191" i="1"/>
  <c r="U185" i="1"/>
  <c r="U267" i="1"/>
  <c r="U55" i="1"/>
  <c r="U18" i="1"/>
  <c r="U312" i="1"/>
  <c r="U33" i="1"/>
  <c r="U56" i="1"/>
  <c r="U136" i="1"/>
  <c r="U247" i="1"/>
  <c r="U22" i="1"/>
  <c r="U93" i="1"/>
  <c r="U74" i="1"/>
  <c r="U7" i="1"/>
  <c r="U152" i="1"/>
  <c r="U190" i="1"/>
  <c r="U64" i="1"/>
  <c r="U44" i="1"/>
  <c r="U164" i="1"/>
  <c r="U180" i="1"/>
  <c r="U246" i="1"/>
  <c r="U199" i="1"/>
  <c r="U313" i="1"/>
  <c r="U179" i="1"/>
  <c r="U339" i="1"/>
  <c r="U170" i="1"/>
  <c r="U206" i="1"/>
  <c r="U297" i="1"/>
  <c r="U256" i="1"/>
  <c r="U208" i="1"/>
  <c r="U107" i="1"/>
  <c r="U37" i="1"/>
  <c r="U9" i="1"/>
  <c r="U211" i="1"/>
  <c r="U36" i="1"/>
  <c r="U299" i="1"/>
  <c r="U153" i="1"/>
  <c r="U141" i="1"/>
  <c r="U118" i="1"/>
  <c r="U262" i="1"/>
  <c r="U200" i="1"/>
  <c r="U111" i="1"/>
  <c r="U11" i="1"/>
  <c r="U62" i="1"/>
  <c r="U57" i="1"/>
  <c r="U147" i="1"/>
  <c r="U14" i="1"/>
  <c r="U167" i="1"/>
  <c r="U54" i="1"/>
  <c r="U143" i="1"/>
  <c r="U70" i="1"/>
  <c r="U235" i="1"/>
  <c r="U6" i="1"/>
  <c r="U75" i="1"/>
  <c r="U41" i="1"/>
  <c r="U171" i="1"/>
  <c r="U294" i="1"/>
  <c r="U27" i="1"/>
  <c r="U51" i="1"/>
  <c r="U261" i="1"/>
  <c r="U138" i="1"/>
  <c r="U46" i="1"/>
  <c r="U129" i="1"/>
  <c r="U319" i="1"/>
  <c r="U157" i="1"/>
  <c r="U240" i="1"/>
  <c r="U183" i="1"/>
  <c r="U24" i="1"/>
  <c r="U276" i="1"/>
  <c r="U187" i="1"/>
  <c r="U124" i="1"/>
  <c r="U225" i="1"/>
  <c r="U59" i="1"/>
  <c r="U259" i="1"/>
  <c r="U342" i="1"/>
  <c r="U69" i="1"/>
  <c r="U10" i="1"/>
  <c r="U105" i="1"/>
  <c r="U238" i="1"/>
  <c r="U168" i="1"/>
  <c r="U98" i="1"/>
  <c r="U130" i="1"/>
  <c r="U266" i="1"/>
  <c r="U243" i="1"/>
  <c r="U115" i="1"/>
  <c r="U287" i="1"/>
  <c r="U207" i="1"/>
  <c r="U194" i="1"/>
  <c r="U156" i="1"/>
  <c r="U102" i="1"/>
  <c r="U144" i="1"/>
  <c r="U198" i="1"/>
  <c r="U333" i="1"/>
  <c r="U203" i="1"/>
  <c r="U228" i="1"/>
  <c r="U244" i="1"/>
  <c r="U31" i="1"/>
  <c r="U4" i="1"/>
  <c r="U309" i="1"/>
  <c r="U283" i="1"/>
  <c r="U99" i="1"/>
  <c r="U131" i="1"/>
  <c r="U139" i="1"/>
  <c r="U253" i="1"/>
  <c r="U49" i="1"/>
  <c r="U73" i="1"/>
  <c r="U192" i="1"/>
  <c r="U161" i="1"/>
  <c r="U103" i="1"/>
  <c r="U260" i="1"/>
  <c r="U23" i="1"/>
  <c r="U21" i="1"/>
  <c r="U121" i="1"/>
  <c r="U39" i="1"/>
  <c r="U295" i="1"/>
  <c r="U125" i="1"/>
  <c r="U155" i="1"/>
  <c r="U84" i="1"/>
  <c r="U258" i="1"/>
  <c r="U275" i="1"/>
  <c r="U148" i="1"/>
  <c r="U220" i="1"/>
  <c r="U332" i="1"/>
  <c r="U265" i="1"/>
  <c r="U233" i="1"/>
  <c r="U296" i="1"/>
  <c r="U277" i="1"/>
  <c r="U172" i="1"/>
  <c r="U132" i="1"/>
  <c r="U239" i="1"/>
  <c r="U280" i="1"/>
  <c r="U61" i="1"/>
  <c r="U85" i="1"/>
  <c r="U196" i="1"/>
  <c r="U216" i="1"/>
  <c r="U318" i="1"/>
  <c r="U290" i="1"/>
  <c r="U310" i="1"/>
  <c r="U341" i="1"/>
  <c r="U234" i="1"/>
  <c r="U182" i="1"/>
  <c r="U30" i="1"/>
  <c r="U284" i="1"/>
  <c r="U205" i="1"/>
  <c r="U188" i="1"/>
  <c r="U112" i="1"/>
  <c r="U298" i="1"/>
  <c r="U226" i="1"/>
  <c r="U108" i="1"/>
  <c r="U201" i="1"/>
  <c r="U87" i="1"/>
  <c r="U322" i="1"/>
  <c r="U223" i="1"/>
  <c r="U338" i="1"/>
  <c r="U88" i="1"/>
  <c r="U40" i="1"/>
  <c r="U79" i="1"/>
  <c r="U52" i="1"/>
  <c r="U330" i="1"/>
  <c r="U82" i="1"/>
  <c r="U324" i="1"/>
  <c r="U58" i="1"/>
  <c r="U189" i="1"/>
  <c r="U255" i="1"/>
  <c r="U307" i="1"/>
  <c r="U257" i="1"/>
  <c r="U184" i="1"/>
  <c r="U323" i="1"/>
  <c r="U151" i="1"/>
  <c r="U230" i="1"/>
  <c r="U273" i="1"/>
  <c r="U90" i="1"/>
  <c r="U229" i="1"/>
  <c r="U78" i="1"/>
  <c r="U231" i="1"/>
  <c r="U94" i="1"/>
  <c r="U278" i="1"/>
  <c r="U315" i="1"/>
  <c r="U137" i="1"/>
  <c r="U160" i="1"/>
  <c r="U122" i="1"/>
  <c r="U91" i="1"/>
  <c r="U254" i="1"/>
  <c r="U89" i="1"/>
  <c r="U316" i="1"/>
  <c r="U292" i="1"/>
  <c r="E6" i="1"/>
  <c r="E153" i="1"/>
  <c r="E220" i="1"/>
  <c r="E305" i="1"/>
  <c r="E164" i="1"/>
  <c r="E264" i="1"/>
  <c r="E259" i="1"/>
  <c r="E262" i="1"/>
  <c r="E260" i="1"/>
  <c r="E261" i="1"/>
  <c r="E263" i="1"/>
  <c r="E258" i="1"/>
  <c r="E314" i="1"/>
  <c r="E198" i="1"/>
  <c r="E157" i="1"/>
  <c r="E242" i="1"/>
  <c r="E253" i="1"/>
  <c r="E257" i="1"/>
  <c r="E30" i="1"/>
  <c r="E56" i="1"/>
  <c r="E155" i="1"/>
  <c r="E113" i="1"/>
  <c r="E254" i="1"/>
  <c r="E248" i="1"/>
  <c r="E306" i="1"/>
  <c r="E55" i="1"/>
  <c r="E131" i="1"/>
  <c r="E326" i="1"/>
  <c r="E41" i="1"/>
  <c r="E122" i="1"/>
  <c r="E95" i="1"/>
  <c r="E213" i="1"/>
  <c r="E331" i="1"/>
  <c r="E200" i="1"/>
  <c r="E94" i="1"/>
  <c r="E102" i="1"/>
  <c r="E129" i="1"/>
  <c r="E182" i="1"/>
  <c r="E42" i="1"/>
  <c r="E188" i="1"/>
  <c r="E61" i="1"/>
  <c r="E201" i="1"/>
  <c r="E105" i="1"/>
  <c r="E40" i="1"/>
  <c r="E251" i="1"/>
  <c r="E112" i="1"/>
  <c r="E64" i="1"/>
  <c r="E156" i="1"/>
  <c r="E46" i="1"/>
  <c r="E111" i="1"/>
  <c r="E338" i="1"/>
  <c r="E225" i="1"/>
  <c r="E278" i="1"/>
  <c r="E335" i="1"/>
  <c r="E329" i="1"/>
  <c r="E52" i="1"/>
  <c r="E43" i="1"/>
  <c r="E38" i="1"/>
  <c r="E193" i="1"/>
  <c r="E223" i="1"/>
  <c r="E93" i="1"/>
  <c r="E85" i="1"/>
  <c r="E109" i="1"/>
  <c r="E190" i="1"/>
  <c r="E255" i="1"/>
  <c r="E108" i="1"/>
  <c r="E235" i="1"/>
  <c r="E154" i="1"/>
  <c r="E337" i="1"/>
  <c r="E317" i="1"/>
  <c r="E322" i="1"/>
  <c r="E342" i="1"/>
  <c r="E139" i="1"/>
  <c r="E165" i="1"/>
  <c r="E297" i="1"/>
  <c r="E147" i="1"/>
  <c r="E192" i="1"/>
  <c r="E214" i="1"/>
  <c r="E310" i="1"/>
  <c r="E231" i="1"/>
  <c r="E203" i="1"/>
  <c r="E75" i="1"/>
  <c r="E65" i="1"/>
  <c r="E187" i="1"/>
  <c r="E210" i="1"/>
  <c r="E79" i="1"/>
  <c r="E286" i="1"/>
  <c r="E53" i="1"/>
  <c r="E228" i="1"/>
  <c r="E208" i="1"/>
  <c r="E341" i="1"/>
  <c r="E202" i="1"/>
  <c r="E199" i="1"/>
  <c r="E324" i="1"/>
  <c r="E239" i="1"/>
  <c r="E229" i="1"/>
  <c r="E184" i="1"/>
  <c r="E211" i="1"/>
  <c r="E216" i="1"/>
  <c r="E92" i="1"/>
  <c r="E222" i="1"/>
  <c r="E205" i="1"/>
  <c r="E90" i="1"/>
  <c r="E89" i="1"/>
  <c r="E78" i="1"/>
  <c r="E146" i="1"/>
  <c r="E137" i="1"/>
  <c r="E227" i="1"/>
  <c r="E183" i="1"/>
  <c r="E127" i="1"/>
  <c r="E283" i="1"/>
  <c r="E143" i="1"/>
  <c r="E29" i="1"/>
  <c r="E296" i="1"/>
  <c r="E285" i="1"/>
  <c r="E60" i="1"/>
  <c r="E172" i="1"/>
  <c r="E103" i="1"/>
  <c r="E311" i="1"/>
  <c r="E23" i="1"/>
  <c r="E160" i="1"/>
  <c r="E161" i="1"/>
  <c r="E158" i="1"/>
  <c r="E292" i="1"/>
  <c r="E169" i="1"/>
  <c r="E62" i="1"/>
  <c r="E67" i="1"/>
  <c r="E120" i="1"/>
  <c r="E215" i="1"/>
  <c r="E309" i="1"/>
  <c r="E212" i="1"/>
  <c r="E274" i="1"/>
  <c r="E273" i="1"/>
  <c r="E128" i="1"/>
  <c r="E36" i="1"/>
  <c r="E44" i="1"/>
  <c r="E25" i="1"/>
  <c r="E333" i="1"/>
  <c r="E237" i="1"/>
  <c r="E339" i="1"/>
  <c r="E152" i="1"/>
  <c r="E45" i="1"/>
  <c r="E207" i="1"/>
  <c r="E269" i="1"/>
  <c r="E59" i="1"/>
  <c r="E142" i="1"/>
  <c r="E270" i="1"/>
  <c r="E73" i="1"/>
  <c r="E316" i="1"/>
  <c r="E281" i="1"/>
  <c r="E272" i="1"/>
  <c r="E332" i="1"/>
  <c r="E327" i="1"/>
  <c r="E282" i="1"/>
  <c r="E321" i="1"/>
  <c r="E240" i="1"/>
  <c r="E173" i="1"/>
  <c r="E148" i="1"/>
  <c r="E68" i="1"/>
  <c r="E175" i="1"/>
  <c r="E58" i="1"/>
  <c r="E265" i="1"/>
  <c r="E87" i="1"/>
  <c r="E97" i="1"/>
  <c r="E4" i="1"/>
  <c r="U3" i="1" l="1"/>
  <c r="U29" i="1"/>
  <c r="U293" i="1"/>
  <c r="U326" i="1"/>
  <c r="U320" i="1"/>
  <c r="U101" i="1"/>
  <c r="U212" i="1"/>
  <c r="U175" i="1"/>
  <c r="U263" i="1"/>
  <c r="U67" i="1"/>
  <c r="U16" i="1"/>
  <c r="U209" i="1"/>
  <c r="U193" i="1"/>
  <c r="U210" i="1"/>
  <c r="U146" i="1"/>
  <c r="U224" i="1"/>
  <c r="U331" i="1"/>
  <c r="U334" i="1"/>
  <c r="U250" i="1"/>
  <c r="U5" i="1"/>
  <c r="U68" i="1"/>
  <c r="U311" i="1"/>
  <c r="U110" i="1"/>
  <c r="U286" i="1"/>
  <c r="U274" i="1"/>
  <c r="U232" i="1"/>
  <c r="U76" i="1"/>
  <c r="U306" i="1"/>
  <c r="U251" i="1"/>
  <c r="U173" i="1"/>
  <c r="U15" i="1"/>
  <c r="U126" i="1"/>
  <c r="U128" i="1"/>
  <c r="U285" i="1"/>
  <c r="U248" i="1"/>
  <c r="U281" i="1"/>
  <c r="U317" i="1"/>
  <c r="U158" i="1"/>
  <c r="U60" i="1"/>
  <c r="U178" i="1"/>
  <c r="U204" i="1"/>
  <c r="U301" i="1"/>
  <c r="U177" i="1"/>
  <c r="U26" i="1"/>
  <c r="U35" i="1"/>
  <c r="U186" i="1"/>
  <c r="U145" i="1"/>
  <c r="U96" i="1"/>
  <c r="U214" i="1"/>
  <c r="U38" i="1"/>
  <c r="U227" i="1"/>
  <c r="U154" i="1"/>
  <c r="U308" i="1"/>
  <c r="U133" i="1"/>
  <c r="U305" i="1"/>
  <c r="U222" i="1"/>
  <c r="U335" i="1"/>
  <c r="U272" i="1"/>
  <c r="U219" i="1"/>
  <c r="U47" i="1"/>
  <c r="U159" i="1"/>
  <c r="U169" i="1"/>
  <c r="U19" i="1"/>
  <c r="U176" i="1"/>
  <c r="U83" i="1"/>
  <c r="U165" i="1"/>
  <c r="U221" i="1"/>
  <c r="U269" i="1"/>
  <c r="U328" i="1"/>
  <c r="U63" i="1"/>
  <c r="U195" i="1"/>
  <c r="U42" i="1"/>
  <c r="U282" i="1"/>
  <c r="U327" i="1"/>
  <c r="U120" i="1"/>
  <c r="U81" i="1"/>
  <c r="U329" i="1"/>
  <c r="U95" i="1"/>
  <c r="U119" i="1"/>
  <c r="U242" i="1"/>
  <c r="U337" i="1"/>
  <c r="U163" i="1"/>
  <c r="U86" i="1"/>
  <c r="U215" i="1"/>
  <c r="U117" i="1"/>
  <c r="U71" i="1"/>
  <c r="U100" i="1"/>
  <c r="U113" i="1"/>
  <c r="U97" i="1"/>
  <c r="U213" i="1"/>
  <c r="U197" i="1"/>
  <c r="U28" i="1"/>
  <c r="U162" i="1"/>
  <c r="U271" i="1"/>
  <c r="U321" i="1"/>
  <c r="U249" i="1"/>
  <c r="U252" i="1"/>
  <c r="U66" i="1"/>
  <c r="E208" i="3"/>
  <c r="D208" i="3"/>
  <c r="J200" i="3"/>
  <c r="H200" i="3"/>
  <c r="F198" i="3"/>
  <c r="J197" i="3"/>
  <c r="E197" i="3"/>
  <c r="J192" i="3"/>
  <c r="E192" i="3"/>
  <c r="F191" i="3"/>
  <c r="J191" i="3"/>
  <c r="J190" i="3"/>
  <c r="F190" i="3"/>
  <c r="F189" i="3"/>
  <c r="J188" i="3"/>
  <c r="I188" i="3"/>
  <c r="F188" i="3"/>
  <c r="J187" i="3"/>
  <c r="F187" i="3"/>
  <c r="H186" i="3"/>
  <c r="J185" i="3"/>
  <c r="J183" i="3"/>
  <c r="F183" i="3"/>
  <c r="H174" i="3"/>
  <c r="J171" i="3"/>
  <c r="H171" i="3"/>
  <c r="J170" i="3"/>
  <c r="J167" i="3"/>
  <c r="F167" i="3"/>
  <c r="J162" i="3"/>
  <c r="F162" i="3"/>
  <c r="E161" i="3"/>
  <c r="E158" i="3"/>
  <c r="H157" i="3"/>
  <c r="H156" i="3"/>
  <c r="J155" i="3"/>
  <c r="F155" i="3"/>
  <c r="F154" i="3"/>
  <c r="J152" i="3"/>
  <c r="H152" i="3"/>
  <c r="F151" i="3"/>
  <c r="P150" i="3"/>
  <c r="J150" i="3"/>
  <c r="H147" i="3"/>
  <c r="J141" i="3"/>
  <c r="H141" i="3"/>
  <c r="F141" i="3"/>
  <c r="J140" i="3"/>
  <c r="F140" i="3"/>
  <c r="J139" i="3"/>
  <c r="J137" i="3"/>
  <c r="J136" i="3"/>
  <c r="H136" i="3"/>
  <c r="J135" i="3"/>
  <c r="J134" i="3"/>
  <c r="J132" i="3"/>
  <c r="F132" i="3"/>
  <c r="J131" i="3"/>
  <c r="H131" i="3"/>
  <c r="F130" i="3"/>
  <c r="J129" i="3"/>
  <c r="H129" i="3"/>
  <c r="F129" i="3"/>
  <c r="G128" i="3"/>
  <c r="F128" i="3"/>
  <c r="N127" i="3"/>
  <c r="J127" i="3"/>
  <c r="H127" i="3"/>
  <c r="G127" i="3"/>
  <c r="F127" i="3"/>
  <c r="H126" i="3"/>
  <c r="J124" i="3"/>
  <c r="E124" i="3"/>
  <c r="G123" i="3"/>
  <c r="J122" i="3"/>
  <c r="H122" i="3"/>
  <c r="F122" i="3"/>
  <c r="H121" i="3"/>
  <c r="J120" i="3"/>
  <c r="H120" i="3"/>
  <c r="J119" i="3"/>
  <c r="H119" i="3"/>
  <c r="F119" i="3"/>
  <c r="H118" i="3"/>
  <c r="H116" i="3"/>
  <c r="J115" i="3"/>
  <c r="G115" i="3"/>
  <c r="P114" i="3"/>
  <c r="J114" i="3"/>
  <c r="H114" i="3"/>
  <c r="J113" i="3"/>
  <c r="F113" i="3"/>
  <c r="J112" i="3"/>
  <c r="J111" i="3"/>
  <c r="H111" i="3"/>
  <c r="J110" i="3"/>
  <c r="H110" i="3"/>
  <c r="F110" i="3"/>
  <c r="J109" i="3"/>
  <c r="J108" i="3"/>
  <c r="H108" i="3"/>
  <c r="J107" i="3"/>
  <c r="J106" i="3"/>
  <c r="J105" i="3"/>
  <c r="J104" i="3"/>
  <c r="H104" i="3"/>
  <c r="H103" i="3"/>
  <c r="J102" i="3"/>
  <c r="J90" i="3"/>
  <c r="G90" i="3"/>
  <c r="J86" i="3"/>
  <c r="H85" i="3"/>
  <c r="F85" i="3"/>
  <c r="H84" i="3"/>
  <c r="N81" i="3"/>
  <c r="F81" i="3"/>
  <c r="E81" i="3"/>
  <c r="H77" i="3"/>
  <c r="E77" i="3"/>
  <c r="F76" i="3"/>
  <c r="H75" i="3"/>
  <c r="G75" i="3"/>
  <c r="F73" i="3"/>
  <c r="J71" i="3"/>
  <c r="H71" i="3"/>
  <c r="F71" i="3"/>
  <c r="F70" i="3"/>
  <c r="E70" i="3"/>
  <c r="N69" i="3"/>
  <c r="H69" i="3"/>
  <c r="J68" i="3"/>
  <c r="H68" i="3"/>
  <c r="I67" i="3"/>
  <c r="H67" i="3"/>
  <c r="J64" i="3"/>
  <c r="I64" i="3"/>
  <c r="J63" i="3"/>
  <c r="E63" i="3"/>
  <c r="J58" i="3"/>
  <c r="H58" i="3"/>
  <c r="J57" i="3"/>
  <c r="E57" i="3"/>
  <c r="H56" i="3"/>
  <c r="F56" i="3"/>
  <c r="H55" i="3"/>
  <c r="G55" i="3"/>
  <c r="F55" i="3"/>
  <c r="H36" i="3"/>
  <c r="F36" i="3"/>
  <c r="J35" i="3"/>
  <c r="F35" i="3"/>
  <c r="F32" i="3"/>
  <c r="E31" i="3"/>
  <c r="F30" i="3"/>
  <c r="F29" i="3"/>
  <c r="N28" i="3"/>
  <c r="H28" i="3"/>
  <c r="E28" i="3"/>
  <c r="F26" i="3"/>
  <c r="H24" i="3"/>
  <c r="E19" i="3"/>
  <c r="H18" i="3"/>
  <c r="F17" i="3"/>
  <c r="F16" i="3"/>
  <c r="E4" i="3"/>
  <c r="G2" i="3"/>
  <c r="Q346" i="1" l="1"/>
  <c r="Q347" i="1"/>
  <c r="Q348" i="1"/>
  <c r="U348" i="1"/>
  <c r="U347" i="1" l="1"/>
</calcChain>
</file>

<file path=xl/sharedStrings.xml><?xml version="1.0" encoding="utf-8"?>
<sst xmlns="http://schemas.openxmlformats.org/spreadsheetml/2006/main" count="4362" uniqueCount="1203">
  <si>
    <t>Continent</t>
  </si>
  <si>
    <t>Personal/Institutional</t>
  </si>
  <si>
    <t>Africa</t>
  </si>
  <si>
    <t>Algeria</t>
  </si>
  <si>
    <t>President</t>
  </si>
  <si>
    <t>Personal</t>
  </si>
  <si>
    <t>Dormant</t>
  </si>
  <si>
    <t>Prime Minister</t>
  </si>
  <si>
    <t>Angola</t>
  </si>
  <si>
    <t>Presidency</t>
  </si>
  <si>
    <t>Institutional</t>
  </si>
  <si>
    <t>Benin</t>
  </si>
  <si>
    <t>Active</t>
  </si>
  <si>
    <t>Government</t>
  </si>
  <si>
    <t>Foreign Ministry</t>
  </si>
  <si>
    <t>Botswana</t>
  </si>
  <si>
    <t>Burkina Faso</t>
  </si>
  <si>
    <t>Burundi</t>
  </si>
  <si>
    <t>Cameroon</t>
  </si>
  <si>
    <t>Cape Verde</t>
  </si>
  <si>
    <t>Central African Republic</t>
  </si>
  <si>
    <t>Chad</t>
  </si>
  <si>
    <t>Comores</t>
  </si>
  <si>
    <t>Democratic Republic of Congo</t>
  </si>
  <si>
    <t>https://youtube.com/PrimatureRDC</t>
  </si>
  <si>
    <t>Djibouti</t>
  </si>
  <si>
    <t>Egypt</t>
  </si>
  <si>
    <t>https://youtube.com/AlsisiOfficial</t>
  </si>
  <si>
    <t>https://youtube.com/egyptgovportal</t>
  </si>
  <si>
    <t>Foreign Minister</t>
  </si>
  <si>
    <t>Ethiopia</t>
  </si>
  <si>
    <t>https://youtube.com/mfaethiopia</t>
  </si>
  <si>
    <t>Gabon</t>
  </si>
  <si>
    <t>Gambia</t>
  </si>
  <si>
    <t>Ghana</t>
  </si>
  <si>
    <t>https://youtube.com/JDMahama</t>
  </si>
  <si>
    <t>Guinea</t>
  </si>
  <si>
    <t>Guinea-Bissau</t>
  </si>
  <si>
    <t>Ivory Coast</t>
  </si>
  <si>
    <t>https://youtube.com/Presidenceci</t>
  </si>
  <si>
    <t>Kenya</t>
  </si>
  <si>
    <t>Lesotho</t>
  </si>
  <si>
    <t>Liberia</t>
  </si>
  <si>
    <t>Libya</t>
  </si>
  <si>
    <t>Madagascar</t>
  </si>
  <si>
    <t>Malawi</t>
  </si>
  <si>
    <t>Mali</t>
  </si>
  <si>
    <t>Mauritania</t>
  </si>
  <si>
    <t>Morocco</t>
  </si>
  <si>
    <t>Mozambique</t>
  </si>
  <si>
    <t>Namibia</t>
  </si>
  <si>
    <t>Niger</t>
  </si>
  <si>
    <t>Nigeria</t>
  </si>
  <si>
    <t>Rwanda</t>
  </si>
  <si>
    <t>RwandaGov</t>
  </si>
  <si>
    <t>Sao Tome and Principe</t>
  </si>
  <si>
    <t>Senegal</t>
  </si>
  <si>
    <t>Seychelles</t>
  </si>
  <si>
    <t>Sierra Leone</t>
  </si>
  <si>
    <t>Somalia</t>
  </si>
  <si>
    <t>South Africa</t>
  </si>
  <si>
    <t>The Presidency of the Republic of South Africa</t>
  </si>
  <si>
    <t>https://youtube.com/GovernmentZA</t>
  </si>
  <si>
    <t>South Sudan</t>
  </si>
  <si>
    <t>Sudan</t>
  </si>
  <si>
    <t>Tanzania</t>
  </si>
  <si>
    <t>Togo</t>
  </si>
  <si>
    <t>https://youtube.com/republicoftogo</t>
  </si>
  <si>
    <t>Tunisia</t>
  </si>
  <si>
    <t>https://youtube.com/BejiCEOfficial</t>
  </si>
  <si>
    <t>Uganda</t>
  </si>
  <si>
    <t>State House Uganda</t>
  </si>
  <si>
    <t>Zambia</t>
  </si>
  <si>
    <t>Asia</t>
  </si>
  <si>
    <t>Afghanistan</t>
  </si>
  <si>
    <t>https://youtube.com/ashrafghani</t>
  </si>
  <si>
    <t>ARG1880</t>
  </si>
  <si>
    <t>Chief Executive Officer</t>
  </si>
  <si>
    <t>gmicafghanistan</t>
  </si>
  <si>
    <t>Armenia</t>
  </si>
  <si>
    <t>https://youtube.com/MFAofArmenia</t>
  </si>
  <si>
    <t>Azerbaijan</t>
  </si>
  <si>
    <t>presidentaz</t>
  </si>
  <si>
    <t>MFAAzerbaijan</t>
  </si>
  <si>
    <t>Bahrain</t>
  </si>
  <si>
    <t>Royal Court</t>
  </si>
  <si>
    <t>Bangladesh</t>
  </si>
  <si>
    <t>https://youtube.com/a2iBangladesh</t>
  </si>
  <si>
    <t>Bhutan</t>
  </si>
  <si>
    <t>Royal</t>
  </si>
  <si>
    <t>https://youtube.com/tsheringtobgay</t>
  </si>
  <si>
    <t>Brunei</t>
  </si>
  <si>
    <t>Cambodia</t>
  </si>
  <si>
    <t>East Timor</t>
  </si>
  <si>
    <t>Georgia</t>
  </si>
  <si>
    <t>India</t>
  </si>
  <si>
    <t>https://youtube.com/narendramodi</t>
  </si>
  <si>
    <t>Indian Diplomacy</t>
  </si>
  <si>
    <t>Institutional/Personal</t>
  </si>
  <si>
    <t>Ministry of External Affairs, India</t>
  </si>
  <si>
    <t>Indonesia</t>
  </si>
  <si>
    <t>https://youtube.com/jokowi</t>
  </si>
  <si>
    <t>https://youtube.com/IstanaRakyat</t>
  </si>
  <si>
    <t>Iran</t>
  </si>
  <si>
    <t>Religious Leader</t>
  </si>
  <si>
    <t>Iraq</t>
  </si>
  <si>
    <t>https://youtube.com/HaiderAlAbadi</t>
  </si>
  <si>
    <t>Israel</t>
  </si>
  <si>
    <t>https://youtube.com/Netanyahu</t>
  </si>
  <si>
    <t>IsraeliPM</t>
  </si>
  <si>
    <t>Japan</t>
  </si>
  <si>
    <t>Prime Minister's Office of Japan</t>
  </si>
  <si>
    <t>Jordan</t>
  </si>
  <si>
    <t>Queen</t>
  </si>
  <si>
    <t>Queen Rania</t>
  </si>
  <si>
    <t>QueenRania</t>
  </si>
  <si>
    <t>Kazakhstan</t>
  </si>
  <si>
    <t>https://youtube.com/ortcomkz</t>
  </si>
  <si>
    <t>https://youtube.com/ortcomkzE</t>
  </si>
  <si>
    <t>Kuwait</t>
  </si>
  <si>
    <t>https://youtube.com/MOFAKuwait</t>
  </si>
  <si>
    <t>Kyrgyzstan</t>
  </si>
  <si>
    <t>Lebanon</t>
  </si>
  <si>
    <t>https://youtube.com/SalamTammam</t>
  </si>
  <si>
    <t>Malaysia</t>
  </si>
  <si>
    <t>Najib Razak</t>
  </si>
  <si>
    <t>Maldives</t>
  </si>
  <si>
    <t>presidencymv</t>
  </si>
  <si>
    <t>Mauritius</t>
  </si>
  <si>
    <t>Mongolia</t>
  </si>
  <si>
    <t>Elbegdorj Tsakhia</t>
  </si>
  <si>
    <t>https://youtube.com/PurevsurenL</t>
  </si>
  <si>
    <t>Myanmar</t>
  </si>
  <si>
    <t>Nepal</t>
  </si>
  <si>
    <t>https://youtube.com/kpsharmaoli</t>
  </si>
  <si>
    <t>Oman</t>
  </si>
  <si>
    <t>Pakistan</t>
  </si>
  <si>
    <t>Palestine</t>
  </si>
  <si>
    <t>Papua New Guinea</t>
  </si>
  <si>
    <t>Philippines</t>
  </si>
  <si>
    <t>https://youtube.com/govph</t>
  </si>
  <si>
    <t>Qatar</t>
  </si>
  <si>
    <t>https://youtube.com/HukoomiQatar</t>
  </si>
  <si>
    <t>Saudi Arabia</t>
  </si>
  <si>
    <t>https://youtube.com/saudiportal</t>
  </si>
  <si>
    <t>https://youtube.com/ksamofa</t>
  </si>
  <si>
    <t>Singapore</t>
  </si>
  <si>
    <t>South Korea</t>
  </si>
  <si>
    <t>Sri Lanka</t>
  </si>
  <si>
    <t>Syria</t>
  </si>
  <si>
    <t>Tajikistan</t>
  </si>
  <si>
    <t>https://youtube.com/presstj</t>
  </si>
  <si>
    <t>Thailand</t>
  </si>
  <si>
    <t>https://youtube.com/ThaiKhuFah</t>
  </si>
  <si>
    <t>United Arab Emirates</t>
  </si>
  <si>
    <t>https://youtube.com/OFMUAE</t>
  </si>
  <si>
    <t>Uzbekistan</t>
  </si>
  <si>
    <t>Vietnam</t>
  </si>
  <si>
    <t>Yemen</t>
  </si>
  <si>
    <t>https://youtube.com/KhaledBahah</t>
  </si>
  <si>
    <t>Europe</t>
  </si>
  <si>
    <t>Albania</t>
  </si>
  <si>
    <t>Andorra</t>
  </si>
  <si>
    <t>Govern d'Andorra</t>
  </si>
  <si>
    <t>Austria</t>
  </si>
  <si>
    <t>https://youtube.com/heifi2010</t>
  </si>
  <si>
    <t>Chancellor</t>
  </si>
  <si>
    <t>https://youtube.com/bundeskanzlerfaymann</t>
  </si>
  <si>
    <t>Belarus</t>
  </si>
  <si>
    <t>Belgium</t>
  </si>
  <si>
    <t>Bosnia and Herzegovina</t>
  </si>
  <si>
    <t>Bulgaria</t>
  </si>
  <si>
    <t>Croatia</t>
  </si>
  <si>
    <t>Vlada Republike Hrvatske</t>
  </si>
  <si>
    <t>Cyprus</t>
  </si>
  <si>
    <t>Czech Republic</t>
  </si>
  <si>
    <t>Denmark</t>
  </si>
  <si>
    <t>Estonia</t>
  </si>
  <si>
    <t>EU</t>
  </si>
  <si>
    <t>EU Council</t>
  </si>
  <si>
    <t>https://youtube.com/EUCouncil</t>
  </si>
  <si>
    <t>Commission</t>
  </si>
  <si>
    <t>European Commission</t>
  </si>
  <si>
    <t>F.Y.R.O.M.</t>
  </si>
  <si>
    <t>https://youtube.com/GjorgeIvanov</t>
  </si>
  <si>
    <t>https://youtube.com/GruevskiNikola</t>
  </si>
  <si>
    <t>Finland</t>
  </si>
  <si>
    <t>https://youtube.com/TPKanslia</t>
  </si>
  <si>
    <t>France</t>
  </si>
  <si>
    <t>https://youtube.com/fhollande</t>
  </si>
  <si>
    <t>https://youtube.com/manuelvalls</t>
  </si>
  <si>
    <t>https://youtube.com/gouvernementFR</t>
  </si>
  <si>
    <t>Germany</t>
  </si>
  <si>
    <t>Bundesregierung</t>
  </si>
  <si>
    <t>Greece</t>
  </si>
  <si>
    <t>Hungary</t>
  </si>
  <si>
    <t>Iceland</t>
  </si>
  <si>
    <t>Ireland</t>
  </si>
  <si>
    <t>Italy</t>
  </si>
  <si>
    <t>matteorenzi</t>
  </si>
  <si>
    <t>https://youtube.com/matteorenzi</t>
  </si>
  <si>
    <t>https://youtube.com/PaoloGentiloni</t>
  </si>
  <si>
    <t>Kosovo</t>
  </si>
  <si>
    <t>Atifete Jahjaga</t>
  </si>
  <si>
    <t>Latvia</t>
  </si>
  <si>
    <t>Liechtenstein</t>
  </si>
  <si>
    <t>Lithuania</t>
  </si>
  <si>
    <t>Luxembourg</t>
  </si>
  <si>
    <t>Malta</t>
  </si>
  <si>
    <t>Joseph Muscat</t>
  </si>
  <si>
    <t>https://youtube.com/DOImalta</t>
  </si>
  <si>
    <t>Moldova</t>
  </si>
  <si>
    <t>Monaco</t>
  </si>
  <si>
    <t>Montenegro</t>
  </si>
  <si>
    <t>Netherlands</t>
  </si>
  <si>
    <t>Royal House</t>
  </si>
  <si>
    <t>koninklijkhuis</t>
  </si>
  <si>
    <t>Norway</t>
  </si>
  <si>
    <t>Royal Couple</t>
  </si>
  <si>
    <t>Poland</t>
  </si>
  <si>
    <t>https://youtube.com/AndrzejDuda</t>
  </si>
  <si>
    <t>https://youtube.com/BeataSzydlo</t>
  </si>
  <si>
    <t>Kancelaria Premiera</t>
  </si>
  <si>
    <t>Portugal</t>
  </si>
  <si>
    <t>https://youtube.com/prcavacosilva</t>
  </si>
  <si>
    <t>Romania</t>
  </si>
  <si>
    <t>https://youtube.com/KlausIohannis</t>
  </si>
  <si>
    <t>Russia</t>
  </si>
  <si>
    <t>San Marino</t>
  </si>
  <si>
    <t>Serbia</t>
  </si>
  <si>
    <t>https://youtube.com/vucicaleksandar</t>
  </si>
  <si>
    <t>Slovakia</t>
  </si>
  <si>
    <t>https://youtube.com/fico2014</t>
  </si>
  <si>
    <t>Slovenia</t>
  </si>
  <si>
    <t>https://youtube.com/BorutPahor</t>
  </si>
  <si>
    <t>Spain</t>
  </si>
  <si>
    <t>Royal Household</t>
  </si>
  <si>
    <t>https://youtube.com/marianorajoy</t>
  </si>
  <si>
    <t>Sweden</t>
  </si>
  <si>
    <t>Switzerland</t>
  </si>
  <si>
    <t>Turkey</t>
  </si>
  <si>
    <t>https://youtube.com/Ahmet_Davutoglu</t>
  </si>
  <si>
    <t>https://youtube.com/MevlutCavusoglu</t>
  </si>
  <si>
    <t>Ukraine</t>
  </si>
  <si>
    <t>UkraineMFA</t>
  </si>
  <si>
    <t>United Kingdom</t>
  </si>
  <si>
    <t>The British Monarchy</t>
  </si>
  <si>
    <t>10 Downing Street</t>
  </si>
  <si>
    <t>https://youtube.com/cabinetofficeuk</t>
  </si>
  <si>
    <t>Vatican</t>
  </si>
  <si>
    <t>North America</t>
  </si>
  <si>
    <t>Antigua and Barbuda</t>
  </si>
  <si>
    <t>Bahamas</t>
  </si>
  <si>
    <t>Barbados</t>
  </si>
  <si>
    <t>Belize</t>
  </si>
  <si>
    <t>Canada</t>
  </si>
  <si>
    <t>https://youtube.com/JustinPJTrudeau</t>
  </si>
  <si>
    <t>Costa Rica</t>
  </si>
  <si>
    <t>https://youtube.com/luisguillermosr</t>
  </si>
  <si>
    <t>Casa Presidencial Costa Rica</t>
  </si>
  <si>
    <t>Cuba</t>
  </si>
  <si>
    <t>Dominica</t>
  </si>
  <si>
    <t>Dominican Republic</t>
  </si>
  <si>
    <t>https://youtube.com/MIREXRD</t>
  </si>
  <si>
    <t>El Salvador</t>
  </si>
  <si>
    <t>Grenada</t>
  </si>
  <si>
    <t>Guatemala</t>
  </si>
  <si>
    <t>Gobierno de Guatemala</t>
  </si>
  <si>
    <t>Haiti</t>
  </si>
  <si>
    <t>https://youtube.com/PrimatureHT</t>
  </si>
  <si>
    <t>https://youtube.com/MAECHaiti</t>
  </si>
  <si>
    <t>Honduras</t>
  </si>
  <si>
    <t>Jamaica</t>
  </si>
  <si>
    <t>https://youtube.com/OPMJamaica</t>
  </si>
  <si>
    <t>Mexico</t>
  </si>
  <si>
    <t>Nicaragua</t>
  </si>
  <si>
    <t>Panama</t>
  </si>
  <si>
    <t>Puerto Rico</t>
  </si>
  <si>
    <t>Office of the Governor</t>
  </si>
  <si>
    <t>State Department</t>
  </si>
  <si>
    <t>Saint Kitts and Nevis</t>
  </si>
  <si>
    <t>Saint Lucia</t>
  </si>
  <si>
    <t>St. Vincent and the Grenadines</t>
  </si>
  <si>
    <t>Trinidad and Tobago</t>
  </si>
  <si>
    <t>https://youtube.com/otptt</t>
  </si>
  <si>
    <t>https://youtube.com/mfagovtt</t>
  </si>
  <si>
    <t>United States</t>
  </si>
  <si>
    <t>https://youtube.com/BarackObama</t>
  </si>
  <si>
    <t>The White House</t>
  </si>
  <si>
    <t>U.S. Department of State</t>
  </si>
  <si>
    <t>https://youtube.com/USAdarFarsi</t>
  </si>
  <si>
    <t>Oceania</t>
  </si>
  <si>
    <t>Australia</t>
  </si>
  <si>
    <t>Malcolm Turnbull</t>
  </si>
  <si>
    <t>Fiji</t>
  </si>
  <si>
    <t>FijianGovernment</t>
  </si>
  <si>
    <t>Marshall Islands</t>
  </si>
  <si>
    <t>Nauru</t>
  </si>
  <si>
    <t>New Zealand</t>
  </si>
  <si>
    <t>Palau</t>
  </si>
  <si>
    <t>Samoa</t>
  </si>
  <si>
    <t>Solomon Islands</t>
  </si>
  <si>
    <t>Tonga</t>
  </si>
  <si>
    <t>Tuvalu</t>
  </si>
  <si>
    <t>Vanuatu</t>
  </si>
  <si>
    <t>South America</t>
  </si>
  <si>
    <t>Argentina</t>
  </si>
  <si>
    <t>https://youtube.com/mauriciomacri</t>
  </si>
  <si>
    <t>Bolivia</t>
  </si>
  <si>
    <t>https://youtube.com/mincombolivia</t>
  </si>
  <si>
    <t>Brazil</t>
  </si>
  <si>
    <t>Portal Brasil</t>
  </si>
  <si>
    <t>Chile</t>
  </si>
  <si>
    <t>Gobierno de Chile</t>
  </si>
  <si>
    <t>Colombia</t>
  </si>
  <si>
    <t>Ecuador</t>
  </si>
  <si>
    <t>https://youtube.com/MashiRafael</t>
  </si>
  <si>
    <t>Guyana</t>
  </si>
  <si>
    <t>Paraguay</t>
  </si>
  <si>
    <t>https://youtube.com/mreparaguay</t>
  </si>
  <si>
    <t>Peru</t>
  </si>
  <si>
    <t>Suriname</t>
  </si>
  <si>
    <t>Uruguay</t>
  </si>
  <si>
    <t>Venezuela</t>
  </si>
  <si>
    <t>Ministry of Foreign Affairs of Lithuania</t>
  </si>
  <si>
    <t>iGA</t>
  </si>
  <si>
    <t>relacionesexteriores.uy</t>
  </si>
  <si>
    <t>Global Affairs Canada</t>
  </si>
  <si>
    <t>presidentlv</t>
  </si>
  <si>
    <t>vanuatugovernment</t>
  </si>
  <si>
    <t>govsingapore</t>
  </si>
  <si>
    <t>primeministerkz</t>
  </si>
  <si>
    <t>regjeringen</t>
  </si>
  <si>
    <t>UhuruKenyattaTV</t>
  </si>
  <si>
    <t>PrimeMinisterGR</t>
  </si>
  <si>
    <t>vaticanit - italiano</t>
  </si>
  <si>
    <t>PCOO EDP</t>
  </si>
  <si>
    <t>Flagstaff House Communications Bureau</t>
  </si>
  <si>
    <t>RHC JO</t>
  </si>
  <si>
    <t>ugandamediacentre</t>
  </si>
  <si>
    <t>Presidenza della Repubblica Italiana</t>
  </si>
  <si>
    <t>Benkiran Abdel-Ilah</t>
  </si>
  <si>
    <t>Sekhoutoureya Guinee</t>
  </si>
  <si>
    <t>PresidentofLithuania</t>
  </si>
  <si>
    <t>KANCELIARIJA</t>
  </si>
  <si>
    <t>DutchGovernment</t>
  </si>
  <si>
    <t>kremlin</t>
  </si>
  <si>
    <t>ValitsuseUudised</t>
  </si>
  <si>
    <t>rijksoverheid</t>
  </si>
  <si>
    <t>PRIMATURE Rwanda</t>
  </si>
  <si>
    <t>presidentpress</t>
  </si>
  <si>
    <t>kongehuset</t>
  </si>
  <si>
    <t>VladaMakedonija</t>
  </si>
  <si>
    <t>gouvci</t>
  </si>
  <si>
    <t>bahrainvideo</t>
  </si>
  <si>
    <t>Paul Kagame</t>
  </si>
  <si>
    <t>Office of the President, Seychelles</t>
  </si>
  <si>
    <t>TheZasag</t>
  </si>
  <si>
    <t>PrimeministerKR</t>
  </si>
  <si>
    <t>vaticande</t>
  </si>
  <si>
    <t>Bundeskanzleramt Oesterreich</t>
  </si>
  <si>
    <t>vaticanes</t>
  </si>
  <si>
    <t>PresidenciaPma</t>
  </si>
  <si>
    <t>pmo iraqich</t>
  </si>
  <si>
    <t>Government Grenada</t>
  </si>
  <si>
    <t>CasaPresidencialSV</t>
  </si>
  <si>
    <t>Boni YAYI</t>
  </si>
  <si>
    <t>SCpresidenciauy</t>
  </si>
  <si>
    <t>egovernmentam</t>
  </si>
  <si>
    <t>NoyTV</t>
  </si>
  <si>
    <t>Pejabat Perdana Menteri Malaysia</t>
  </si>
  <si>
    <t>Palazzo Chigi</t>
  </si>
  <si>
    <t>cheongwadaetv</t>
  </si>
  <si>
    <t>valstskanceleja</t>
  </si>
  <si>
    <t>MeGovernment</t>
  </si>
  <si>
    <t>Ernest Bai Koroma</t>
  </si>
  <si>
    <t>presidendikantselei</t>
  </si>
  <si>
    <t>RegierungFL</t>
  </si>
  <si>
    <t>MerrionStreetNews</t>
  </si>
  <si>
    <t>DeMinPres</t>
  </si>
  <si>
    <t>vatican</t>
  </si>
  <si>
    <t>HH Sheikh Mohammed Bin Rashid Al Maktoum</t>
  </si>
  <si>
    <t>GovPH</t>
  </si>
  <si>
    <t>Presidence TN</t>
  </si>
  <si>
    <t>TV Presidencia Paraguay</t>
  </si>
  <si>
    <t>Prezydent.pl</t>
  </si>
  <si>
    <t>GovernmentOf AntiguaBarbuda</t>
  </si>
  <si>
    <t>RTVMalacanang</t>
  </si>
  <si>
    <t>vaticanfr</t>
  </si>
  <si>
    <t>PolandMFA</t>
  </si>
  <si>
    <t>maetunisie</t>
  </si>
  <si>
    <t>ministerieBZ</t>
  </si>
  <si>
    <t>MAERomania</t>
  </si>
  <si>
    <t>mzvsr</t>
  </si>
  <si>
    <t>Ministry of Foreign Affairs Kazakhstan</t>
  </si>
  <si>
    <t>Udenrigsministeriet</t>
  </si>
  <si>
    <t>GreeceMFA</t>
  </si>
  <si>
    <t>MZZ RS</t>
  </si>
  <si>
    <t>Israel's Foreign Affairs Min.</t>
  </si>
  <si>
    <t>RicardoPatinoA</t>
  </si>
  <si>
    <t>MFA MOLDOVA</t>
  </si>
  <si>
    <t>MRREEUY</t>
  </si>
  <si>
    <t>minrexpanama</t>
  </si>
  <si>
    <t>MFA Georgia</t>
  </si>
  <si>
    <t>Utrikesdepartementet</t>
  </si>
  <si>
    <t>LatvianMFA</t>
  </si>
  <si>
    <t>MINISTRY OF FOREIGN AFFAIRS Sri Lanka</t>
  </si>
  <si>
    <t>foreignaffairsfiji</t>
  </si>
  <si>
    <t>Macedonian MFA</t>
  </si>
  <si>
    <t>estonianmfa</t>
  </si>
  <si>
    <t>cubadebatecu</t>
  </si>
  <si>
    <t>MVEPRH</t>
  </si>
  <si>
    <t>MFA BULGARIA</t>
  </si>
  <si>
    <t>Ministry of Foreign Affairs of Russia</t>
  </si>
  <si>
    <t>Ministria e Puneve te Jashtme</t>
  </si>
  <si>
    <t>diplomatie.belgium</t>
  </si>
  <si>
    <t>BelarusMFA</t>
  </si>
  <si>
    <t>cubaminrex cu</t>
  </si>
  <si>
    <t>AlemaniaDiplo</t>
  </si>
  <si>
    <t>TCDisisleri</t>
  </si>
  <si>
    <t>allemagnediplo</t>
  </si>
  <si>
    <t>AuswaertigesAmtDE</t>
  </si>
  <si>
    <t>DeguoDiplo</t>
  </si>
  <si>
    <t>European External Action Service (EEAS)</t>
  </si>
  <si>
    <t>GermanyDiplo</t>
  </si>
  <si>
    <t>Ministero Affari Esteri</t>
  </si>
  <si>
    <t>GermanijaDiplo</t>
  </si>
  <si>
    <t>AlmaniaDiplo</t>
  </si>
  <si>
    <t>https://youtube.com/Kmassimov</t>
  </si>
  <si>
    <t>https://youtube.com/abdelaziz_bouteflika</t>
  </si>
  <si>
    <t>https://youtube.com/channel/UCMKu2CsilpW8OZ31LdW0vuw</t>
  </si>
  <si>
    <t>https://youtube.com/channel/UCmNEpWzv7HZZTJsU5p4snsQ</t>
  </si>
  <si>
    <t>https://youtube.com/pierrenkurunziza</t>
  </si>
  <si>
    <t>https://youtube.com/channel/UCnJsO1UYtrzuWSV-HLGF79g</t>
  </si>
  <si>
    <t>https://youtube.com/JohnDramaniMahama</t>
  </si>
  <si>
    <t>https://youtube.com/channel/UCGB9EhryH_MQz81kgxVJzqA</t>
  </si>
  <si>
    <t>https://youtube.com/channel/UCoWSDG1zkt__vt7VYgZEHZA</t>
  </si>
  <si>
    <t>https://youtube.com/channel/UCHa2nz3T7pw61mDSDIXQNqg</t>
  </si>
  <si>
    <t>https://youtube.com/theDIRCOZA</t>
  </si>
  <si>
    <t>https://youtube.com/channel/UCl425fhkt272vtjvwPqC4Ww</t>
  </si>
  <si>
    <t>https://youtube.com/bahraincpnews</t>
  </si>
  <si>
    <t>https://youtube.com/channel/UCpB6hijo6JlO00IhoRtcteg</t>
  </si>
  <si>
    <t>https://youtube.com/mofajordan</t>
  </si>
  <si>
    <t>https://youtube.com/pmkzinfo</t>
  </si>
  <si>
    <t>https://youtube.com/gebranbassil</t>
  </si>
  <si>
    <t>https://youtube.com/kemluar</t>
  </si>
  <si>
    <t>https://youtube.com/mofaoman</t>
  </si>
  <si>
    <t>https://youtube.com/pgmcvideos</t>
  </si>
  <si>
    <t>https://youtube.com/pmosingapore</t>
  </si>
  <si>
    <t>https://youtube.com/syrianpresidency</t>
  </si>
  <si>
    <t>https://youtube.com/khadamotimatbuot</t>
  </si>
  <si>
    <t>https://youtube.com/kbzayed</t>
  </si>
  <si>
    <t>https://youtube.com/channel/UCPV8A2GtmHK4Ac-3iBZIJpg</t>
  </si>
  <si>
    <t>https://youtube.com/BorissovBoyko</t>
  </si>
  <si>
    <t>https://youtube.com/Utanrikisraduneyti</t>
  </si>
  <si>
    <t>https://youtube.com/channel/UCT_RKGsFnti_vktYPk8pgEQ</t>
  </si>
  <si>
    <t>https://youtube.com/hashimthaciofficial</t>
  </si>
  <si>
    <t>https://youtube.com/PresesDienests</t>
  </si>
  <si>
    <t>https://youtube.com/channel/UCQ28ccgTL5v7HvgjGym7pYA</t>
  </si>
  <si>
    <t>https://youtube.com/pravitelstvoRF</t>
  </si>
  <si>
    <t>https://youtube.com/andrejkiska</t>
  </si>
  <si>
    <t>https://youtube.com/kungahuset</t>
  </si>
  <si>
    <t>https://youtube.com/tccumhurbaskanligi</t>
  </si>
  <si>
    <t>https://youtube.com/trpresidency</t>
  </si>
  <si>
    <t>https://youtube.com/bbyegm</t>
  </si>
  <si>
    <t>https://youtube.com/kamudiplomasisi</t>
  </si>
  <si>
    <t>https://youtube.com/poroshenkopetro</t>
  </si>
  <si>
    <t>https://youtube.com/channel/UCi-JQxSYna-0duoyc-GCItg</t>
  </si>
  <si>
    <t>https://youtube.com/thebgis</t>
  </si>
  <si>
    <t>https://youtube.com/gobpressoffice</t>
  </si>
  <si>
    <t>https://youtube.com/DaniloMedinaPLD</t>
  </si>
  <si>
    <t>https://youtube.com/salvadorpresidente</t>
  </si>
  <si>
    <t>https://youtube.com/jimmymoralesgt</t>
  </si>
  <si>
    <t>https://youtube.com/channel/UCUDVoRCFoG8D5UEwhsd19sw</t>
  </si>
  <si>
    <t>https://youtube.com/AzulesUnidos</t>
  </si>
  <si>
    <t>https://youtube.com/channel/UC40sKLFAX_YQzGrF13QpipQ</t>
  </si>
  <si>
    <t>https://youtube.com/channel/UCQFq8C-arefP-glX49lbhDQ</t>
  </si>
  <si>
    <t>https://youtube.com/prfortaleza</t>
  </si>
  <si>
    <t>https://youtube.com/saintluciagovernment</t>
  </si>
  <si>
    <t>https://youtube.com/channel/UCOYUOwClHjweriDcsHX6mTQ</t>
  </si>
  <si>
    <t>https://youtube.com/GovernmentofSamoa</t>
  </si>
  <si>
    <t>https://youtube.com/dilmarousseff</t>
  </si>
  <si>
    <t>https://youtube.com/palaciodoplanalto</t>
  </si>
  <si>
    <t>https://youtube.com/michellebacheletpdta</t>
  </si>
  <si>
    <t>https://youtube.com/soyjuanmanuelsantos</t>
  </si>
  <si>
    <t>https://youtube.com/comunicacionecuador</t>
  </si>
  <si>
    <t>https://youtube.com/pcmperu</t>
  </si>
  <si>
    <t>Arthur Peter Mutharika</t>
  </si>
  <si>
    <t>Tshering Tobgay</t>
  </si>
  <si>
    <t>Narendra Modi</t>
  </si>
  <si>
    <t>首相官邸</t>
  </si>
  <si>
    <t>Karim Massimov</t>
  </si>
  <si>
    <t>Tammam Salam</t>
  </si>
  <si>
    <t>Wisma Putra</t>
  </si>
  <si>
    <t>Хадамоти матбуоти Президенти Тоҷикистон</t>
  </si>
  <si>
    <t>Österreichisches Außenministerium</t>
  </si>
  <si>
    <t>Manuel Valls</t>
  </si>
  <si>
    <t>Gouvernement</t>
  </si>
  <si>
    <t>Frank-Walter Steinmeier</t>
  </si>
  <si>
    <t>Magyarország Kormánya</t>
  </si>
  <si>
    <t>Paolo Gentiloni</t>
  </si>
  <si>
    <t>Hashim Thaçi</t>
  </si>
  <si>
    <t>Andrzej Duda</t>
  </si>
  <si>
    <t>Beata Szydło</t>
  </si>
  <si>
    <t>Presidência da República Portuguesa</t>
  </si>
  <si>
    <t>Klaus Iohannis</t>
  </si>
  <si>
    <t>Guvernul României</t>
  </si>
  <si>
    <t>Andrej Kiska</t>
  </si>
  <si>
    <t>La Moncloa</t>
  </si>
  <si>
    <t>T.C. Cumhurbaşkanlığı</t>
  </si>
  <si>
    <t>Ahmet Davutoğlu</t>
  </si>
  <si>
    <t>Петро Порошенко</t>
  </si>
  <si>
    <t>Адміністрація Президента України</t>
  </si>
  <si>
    <t>Арсеній Яценюк</t>
  </si>
  <si>
    <t>Justin Trudeau</t>
  </si>
  <si>
    <t>Luis Guillermo Solís Rivera</t>
  </si>
  <si>
    <t>Jimmy Morales</t>
  </si>
  <si>
    <t>Evans Paul</t>
  </si>
  <si>
    <t>Juan Orlando Hernández</t>
  </si>
  <si>
    <t>Enrique Peña Nieto</t>
  </si>
  <si>
    <t>Juan Carlos Varela</t>
  </si>
  <si>
    <t>The Office of the President of the Republic of Trinidad and Tobago</t>
  </si>
  <si>
    <t>Mauricio Macri</t>
  </si>
  <si>
    <t>Cancillería Argentina</t>
  </si>
  <si>
    <t>Dilma Rousseff</t>
  </si>
  <si>
    <t>Michelle Bachelet</t>
  </si>
  <si>
    <t>Cancillería Colombia</t>
  </si>
  <si>
    <t>Cancillería Ecuador</t>
  </si>
  <si>
    <t>Presidencia Perú</t>
  </si>
  <si>
    <t>Cancillería Venezuela</t>
  </si>
  <si>
    <t>Pierre Nkurunziza</t>
  </si>
  <si>
    <t>PrimatureRDC</t>
  </si>
  <si>
    <t>Yoweri K Museveni</t>
  </si>
  <si>
    <t>Georgian Government</t>
  </si>
  <si>
    <t>ortcomkzE</t>
  </si>
  <si>
    <t>Президент КР</t>
  </si>
  <si>
    <t>Gebran Bassil</t>
  </si>
  <si>
    <t>Syrian Presidency</t>
  </si>
  <si>
    <t>presstj</t>
  </si>
  <si>
    <t>Khaled Bahah</t>
  </si>
  <si>
    <t>GjorgeIvanov</t>
  </si>
  <si>
    <t>La Fortaleza</t>
  </si>
  <si>
    <t>mfagovtt</t>
  </si>
  <si>
    <t>Juan Manuel Santos</t>
  </si>
  <si>
    <t>Cancillería del Perú</t>
  </si>
  <si>
    <t>SECOM Ecuador</t>
  </si>
  <si>
    <t>ISTANA RAKYAT</t>
  </si>
  <si>
    <t>theDIRCOZA</t>
  </si>
  <si>
    <t>heifi2010</t>
  </si>
  <si>
    <t>BahrainCPNews</t>
  </si>
  <si>
    <t>gobpressoffice</t>
  </si>
  <si>
    <t>Пүрэвсүрэн</t>
  </si>
  <si>
    <t>BorutPahor</t>
  </si>
  <si>
    <t>I I</t>
  </si>
  <si>
    <t>Başbakanlık Kamu Diplomasisi</t>
  </si>
  <si>
    <t>TP Kanslia</t>
  </si>
  <si>
    <t>PCMPERU</t>
  </si>
  <si>
    <t>Netanyahu</t>
  </si>
  <si>
    <t>Utanrikisraduneyti</t>
  </si>
  <si>
    <t>marianorajoy</t>
  </si>
  <si>
    <t>Government Saint Lucia</t>
  </si>
  <si>
    <t>UAE mGov</t>
  </si>
  <si>
    <t>DaniloMedinaPLD</t>
  </si>
  <si>
    <t>prcavacosilva</t>
  </si>
  <si>
    <t>HaiderAlabadi</t>
  </si>
  <si>
    <t>HukoomiQatar</t>
  </si>
  <si>
    <t>Council of the EU</t>
  </si>
  <si>
    <t>The President of Malta</t>
  </si>
  <si>
    <t>primatureHT</t>
  </si>
  <si>
    <t>Mofa Oman</t>
  </si>
  <si>
    <t>MIREXRD</t>
  </si>
  <si>
    <t>MofaKuwait</t>
  </si>
  <si>
    <t>pravitelstvoRF</t>
  </si>
  <si>
    <t>fhollande</t>
  </si>
  <si>
    <t>Maechaiti</t>
  </si>
  <si>
    <t>Gouvernement Guinéen TV</t>
  </si>
  <si>
    <t>DOI Malta</t>
  </si>
  <si>
    <t>MashiRafael</t>
  </si>
  <si>
    <t>Mofa jordan</t>
  </si>
  <si>
    <t>Ministerio de Comunicación Bolivia</t>
  </si>
  <si>
    <t>Орталық Коммуникациялар</t>
  </si>
  <si>
    <t>thebgis</t>
  </si>
  <si>
    <t>Roch Marc Christian Kabore</t>
  </si>
  <si>
    <t>govbn Channel</t>
  </si>
  <si>
    <t>Salvador Sánchez Cerén</t>
  </si>
  <si>
    <t>a2ibangladesh</t>
  </si>
  <si>
    <t>Aleksandar Vučić</t>
  </si>
  <si>
    <t>mreparaguay</t>
  </si>
  <si>
    <t>Kpsharmaoli</t>
  </si>
  <si>
    <t>cabinetofficeuk</t>
  </si>
  <si>
    <t>MFA Armenia</t>
  </si>
  <si>
    <t>Presse Présidentielle-RDC</t>
  </si>
  <si>
    <t>Bundeskanzler Faymann</t>
  </si>
  <si>
    <t>mevlutcavusoglu</t>
  </si>
  <si>
    <t>Prime Minister's Office, Singapore</t>
  </si>
  <si>
    <t>Abdelaziz BOUTEFLIKA</t>
  </si>
  <si>
    <t>OPMJamaica</t>
  </si>
  <si>
    <t>Koupaki Pascal Irénée</t>
  </si>
  <si>
    <t>OFMUAE</t>
  </si>
  <si>
    <t>JOHN DRAMANI MAHAMA</t>
  </si>
  <si>
    <t>pmkzinfo</t>
  </si>
  <si>
    <t>FICO2014</t>
  </si>
  <si>
    <t>ashrafghani</t>
  </si>
  <si>
    <t>REPUBLICOFTOGO</t>
  </si>
  <si>
    <t>Presidence Côte d'Ivoire</t>
  </si>
  <si>
    <t>mfaethiopia</t>
  </si>
  <si>
    <t>John D. Mahama</t>
  </si>
  <si>
    <t>EgyptGovPortal</t>
  </si>
  <si>
    <t>Áras an Uachtaráin</t>
  </si>
  <si>
    <t>Президенттің Баспасөз қызметі</t>
  </si>
  <si>
    <t>Présidence Sénégal</t>
  </si>
  <si>
    <t>Nicolás Maduro Moros</t>
  </si>
  <si>
    <t>Elysée</t>
  </si>
  <si>
    <t>Presidencia de la República - Colombia</t>
  </si>
  <si>
    <t>The Vatican - Lietuvių</t>
  </si>
  <si>
    <t>Casa Rosada - República Argentina</t>
  </si>
  <si>
    <t>Presidencia de la República del Ecuador ©SECOM</t>
  </si>
  <si>
    <t>Președintele Nicolae Timofti</t>
  </si>
  <si>
    <t>Présidence de la République du Niger Niamey</t>
  </si>
  <si>
    <t>Cancillería El Salvador</t>
  </si>
  <si>
    <t>Ministerio de Asuntos Exteriores y de Cooperación. Gobierno de España</t>
  </si>
  <si>
    <t>Suomen ulkoministeriö</t>
  </si>
  <si>
    <t>Foreign &amp; Commonwealth Office</t>
  </si>
  <si>
    <t>Ministère des Affaires étrangères et du Développement international</t>
  </si>
  <si>
    <t>Ministério das Relações Exteriores — Brasil</t>
  </si>
  <si>
    <t>https://youtube.com/channel/UC6vgMvDM3qofAG5oJggj89A</t>
  </si>
  <si>
    <t>https://youtube.com/gobiernorepublicamx https://youtube.com/gobiernofederal</t>
  </si>
  <si>
    <t>https://youtube.com/portalbrasil https://youtube.com/canalportalbrasil</t>
  </si>
  <si>
    <t>https://youtube.com/channel/UC4fI8q0yj_gkonQlKy_J2Gw</t>
  </si>
  <si>
    <t>https://youtube.com/channel/UCH7NgTLFA_Yxac7fvjVjEVA</t>
  </si>
  <si>
    <t>https://youtube.com/channel/UChG7C8090M0h6eCU8TM-vGQ</t>
  </si>
  <si>
    <t>https://youtube.com/channel/UCQK5oclaX919o8lUZGwXQFg</t>
  </si>
  <si>
    <t>https://www.youtube.com/user/RouhaniCampaign</t>
  </si>
  <si>
    <t>https://www.youtube.com/user/khameneinews</t>
  </si>
  <si>
    <t>https://www.youtube.com/user/khameneiir</t>
  </si>
  <si>
    <t>UN Members Countries (193)</t>
  </si>
  <si>
    <t>Continents</t>
  </si>
  <si>
    <t>Presidents (Personal)</t>
  </si>
  <si>
    <t>Presidencies (Institutional)</t>
  </si>
  <si>
    <t>Prime Ministers (Personal)</t>
  </si>
  <si>
    <t>Governments (Institutional)</t>
  </si>
  <si>
    <t>Foreign Ministers</t>
  </si>
  <si>
    <t>Foreign Ministries</t>
  </si>
  <si>
    <t>Secondary Accounts for Presidents (Personal)</t>
  </si>
  <si>
    <t>Secondary accounts for Presidencies (Institutional)</t>
  </si>
  <si>
    <t>Secondary accounts for Prime Ministers (Personal)</t>
  </si>
  <si>
    <t>Secondary accounts of Governments (Institutional)</t>
  </si>
  <si>
    <t>Secondary Accounts for Foreign Ministers</t>
  </si>
  <si>
    <t>Secondary accounts of Foreign Ministries</t>
  </si>
  <si>
    <t>Democratic Republic of the Congo</t>
  </si>
  <si>
    <t>Morrocco</t>
  </si>
  <si>
    <t>Comoros</t>
  </si>
  <si>
    <t>Congo, Republic of the...</t>
  </si>
  <si>
    <t>Equatorial Guinea</t>
  </si>
  <si>
    <t>Eritrea</t>
  </si>
  <si>
    <t>Swaziland</t>
  </si>
  <si>
    <t>Zimbabwe</t>
  </si>
  <si>
    <t>Azerbaidjan</t>
  </si>
  <si>
    <t>Brunei Darussalam</t>
  </si>
  <si>
    <t>https://youtube.com/ortcomkz, https://youtube.com/ortcomkzE</t>
  </si>
  <si>
    <t>Laos</t>
  </si>
  <si>
    <t>China</t>
  </si>
  <si>
    <t>North Korea</t>
  </si>
  <si>
    <t>Turkmenistan</t>
  </si>
  <si>
    <t>Viet Nam</t>
  </si>
  <si>
    <t>F.Y.R.O.M</t>
  </si>
  <si>
    <t>Saint Vincent and the Grenadines</t>
  </si>
  <si>
    <t>Kiribati</t>
  </si>
  <si>
    <t>Micronesia</t>
  </si>
  <si>
    <t>TOTAL</t>
  </si>
  <si>
    <t>Not UN Members but included</t>
  </si>
  <si>
    <t>https://youtube.com/vaticancn, https://youtube.com/vaticande, https://youtube.com/vaticanes, https://youtube.com/vaticanfr, https://youtube.com/vaticanit, https://youtube.com/vaticanlt</t>
  </si>
  <si>
    <t>Palestinian Territories</t>
  </si>
  <si>
    <t>193 UN member countries</t>
  </si>
  <si>
    <t>UN Member Countries</t>
  </si>
  <si>
    <t>53 African countries</t>
  </si>
  <si>
    <t>47 Asian countries</t>
  </si>
  <si>
    <t>45 European countries</t>
  </si>
  <si>
    <t>13 Oceania countries</t>
  </si>
  <si>
    <t>12 South American countries</t>
  </si>
  <si>
    <t>https://youtube.com/gobiernofederal</t>
  </si>
  <si>
    <t>https://www.youtube.com/user/prcunitypalace</t>
  </si>
  <si>
    <t>Paul Biya</t>
  </si>
  <si>
    <t>https://www.youtube.com/channel/UC-PLPWVOVGRIJkI1bBm5uUw</t>
  </si>
  <si>
    <t>https://www.youtube.com/channel/UCoGU0YczSz_Nt8gVO4gV7ug</t>
  </si>
  <si>
    <t>Cape Verde (José Maria Neves)</t>
  </si>
  <si>
    <t>https://www.youtube.com/channel/UCLdK05uGTvWHzZs_aE01xhg/playlists</t>
  </si>
  <si>
    <t>https://www.youtube.com/user/sarrmamie1</t>
  </si>
  <si>
    <t>https://www.youtube.com/user/AliBongoOndimba</t>
  </si>
  <si>
    <t>https://www.youtube.com/user/PresidenceGabonaise</t>
  </si>
  <si>
    <t>https://www.youtube.com/channel/UCLFg7c_mI_6TeOfu_2bXGcQ</t>
  </si>
  <si>
    <t>https://www.youtube.com/user/LibyaTgovernment</t>
  </si>
  <si>
    <t>https://www.youtube.com/channel/UC5nqdZGaSTn6UNi-LDfdTLA</t>
  </si>
  <si>
    <t>https://www.youtube.com/channel/UCsIjJl__1Z4gcT8jQX9iK8A</t>
  </si>
  <si>
    <t>https://www.youtube.com/channel/UC7Y112WEB_NY975PZ-fdj0g</t>
  </si>
  <si>
    <t>https://www.youtube.com/user/monacowebdoc</t>
  </si>
  <si>
    <t>https://www.youtube.com/channel/UCh4VTxoTL79TpMBg3yBqSPQ</t>
  </si>
  <si>
    <t>https://www.youtube.com/channel/UCp3upkpyOMtwEEIofYwiJBQ</t>
  </si>
  <si>
    <t>https://www.youtube.com/channel/UConjvhpKMthCmPYmHERrFAw</t>
  </si>
  <si>
    <t>https://www.youtube.com/channel/UCBjbx3Y59dnH7UMnSCdSd-g</t>
  </si>
  <si>
    <t>https://www.youtube.com/channel/UC_cyRNVbotZsYHNW88j3P1g</t>
  </si>
  <si>
    <t>https://www.youtube.com/user/AungSanSuuKyi1945</t>
  </si>
  <si>
    <t>https://www.youtube.com/user/dominicagovernment</t>
  </si>
  <si>
    <t>https://www.youtube.com/user/TheSKNIS</t>
  </si>
  <si>
    <t>https://www.youtube.com/channel/UCqeo_ZmJFv5G7NT2v8UIEZA</t>
  </si>
  <si>
    <t>https://www.youtube.com/channel/UCaLuCaujxbaKJLzQ2lJ-whQ</t>
  </si>
  <si>
    <t>https://youtube.com/channel/UC-PLPWVOVGRIJkI1bBm5uUw</t>
  </si>
  <si>
    <t>https://youtube.com/channel/UCoGU0YczSz_Nt8gVO4gV7ug</t>
  </si>
  <si>
    <t>https://youtube.com/channel/UCLFg7c_mI_6TeOfu_2bXGcQ</t>
  </si>
  <si>
    <t>https://youtube.com/channel/UC5nqdZGaSTn6UNi-LDfdTLA</t>
  </si>
  <si>
    <t>https://youtube.com/channel/UCsIjJl__1Z4gcT8jQX9iK8A</t>
  </si>
  <si>
    <t>https://youtube.com/channel/UC7Y112WEB_NY975PZ-fdj0g</t>
  </si>
  <si>
    <t>https://youtube.com/channel/UCp3upkpyOMtwEEIofYwiJBQ</t>
  </si>
  <si>
    <t>https://youtube.com/channel/UConjvhpKMthCmPYmHERrFAw</t>
  </si>
  <si>
    <t>https://youtube.com/channel/UCBjbx3Y59dnH7UMnSCdSd-g</t>
  </si>
  <si>
    <t>https://youtube.com/channel/UC_cyRNVbotZsYHNW88j3P1g</t>
  </si>
  <si>
    <t>https://youtube.com/channel/UCh4VTxoTL79TpMBg3yBqSPQ</t>
  </si>
  <si>
    <t>https://youtube.com/channel/UCqeo_ZmJFv5G7NT2v8UIEZA</t>
  </si>
  <si>
    <t>https://youtube.com/channel/UCaLuCaujxbaKJLzQ2lJ-whQ</t>
  </si>
  <si>
    <t>https://youtube.com/AliBongoOndimba</t>
  </si>
  <si>
    <t>https://youtube.com/AungSanSuuKyi1945</t>
  </si>
  <si>
    <t>https://youtube.com/dominicagovernment</t>
  </si>
  <si>
    <t>https://youtube.com/gisdominica</t>
  </si>
  <si>
    <t>https://youtube.com/khameneiir</t>
  </si>
  <si>
    <t>https://youtube.com/khameneinews</t>
  </si>
  <si>
    <t>https://youtube.com/LibyaTgovernment</t>
  </si>
  <si>
    <t>https://youtube.com/monacowebdoc</t>
  </si>
  <si>
    <t>https://youtube.com/prcunitypalace</t>
  </si>
  <si>
    <t>https://youtube.com/PresidenceGabonaise</t>
  </si>
  <si>
    <t>https://youtube.com/RouhaniCampaign</t>
  </si>
  <si>
    <t>https://youtube.com/sarrmamie1</t>
  </si>
  <si>
    <t>https://youtube.com/TheSKNIS</t>
  </si>
  <si>
    <t>Country</t>
  </si>
  <si>
    <t>Institution</t>
  </si>
  <si>
    <t>Channel Link</t>
  </si>
  <si>
    <t>Yes</t>
  </si>
  <si>
    <t>No</t>
  </si>
  <si>
    <t>Verified</t>
  </si>
  <si>
    <t>Inactive</t>
  </si>
  <si>
    <t>Subscribers</t>
  </si>
  <si>
    <t xml:space="preserve">n/a </t>
  </si>
  <si>
    <t>Abdel Fattah el-Sisi</t>
  </si>
  <si>
    <t xml:space="preserve">Top 10 most followed on G+ </t>
  </si>
  <si>
    <t>Prime Minister, India</t>
  </si>
  <si>
    <t>Presidency, USA</t>
  </si>
  <si>
    <t>President, Egypt</t>
  </si>
  <si>
    <t>Royal, UK</t>
  </si>
  <si>
    <t>Gobierno de la República</t>
  </si>
  <si>
    <t>Presidency, Mexico</t>
  </si>
  <si>
    <t>BarackObama.com</t>
  </si>
  <si>
    <t>Abdelfattah Elsisi</t>
  </si>
  <si>
    <t>Institutional, Europe</t>
  </si>
  <si>
    <t>Foreign Ministry, India</t>
  </si>
  <si>
    <t>Presidency, Brazil</t>
  </si>
  <si>
    <t>Institutional, USA</t>
  </si>
  <si>
    <t>President, Brazil</t>
  </si>
  <si>
    <t>Foreign and CommonWealth Office</t>
  </si>
  <si>
    <t xml:space="preserve">Foreign Ministry, UK </t>
  </si>
  <si>
    <t>Presidency, Colombia</t>
  </si>
  <si>
    <t>Presidencia de la República, Colombia</t>
  </si>
  <si>
    <t>Channel ID</t>
  </si>
  <si>
    <t>Channel Title</t>
  </si>
  <si>
    <t>Videos</t>
  </si>
  <si>
    <t>Views</t>
  </si>
  <si>
    <t>Likes</t>
  </si>
  <si>
    <t>Dislikes</t>
  </si>
  <si>
    <t>Comments</t>
  </si>
  <si>
    <t>Abdelmalek Sellal</t>
  </si>
  <si>
    <t>https://youtube.com/AlemaniaDiplo</t>
  </si>
  <si>
    <t>Ali Bongo Ondimba Pour Gabon</t>
  </si>
  <si>
    <t>إبراهيم الجعفري</t>
  </si>
  <si>
    <t>https://youtube.com/allemagnediplo</t>
  </si>
  <si>
    <t>https://youtube.com/AlmaniaDiplo</t>
  </si>
  <si>
    <t>Active*</t>
  </si>
  <si>
    <t>Aung San Suu Kyi</t>
  </si>
  <si>
    <t>bbyegm</t>
  </si>
  <si>
    <t>Beji Caid Essebsi</t>
  </si>
  <si>
    <t>Boyko Borissov</t>
  </si>
  <si>
    <t>Samdech Hun Sen</t>
  </si>
  <si>
    <t>SREmx</t>
  </si>
  <si>
    <t>Hery Rajaonarimampianina</t>
  </si>
  <si>
    <t>Maithripala Sirisena</t>
  </si>
  <si>
    <t>Primature Du Mali</t>
  </si>
  <si>
    <t>John Key</t>
  </si>
  <si>
    <t>ikulu mawasiliano</t>
  </si>
  <si>
    <t>Giorgi Margvelashvili</t>
  </si>
  <si>
    <t>Affaires mondiales Canada</t>
  </si>
  <si>
    <t>Der Schweizerische Bundesrat - Le Conseil fédéral suisse - Il Consiglio federale svizzero</t>
  </si>
  <si>
    <t>Office of the Chief Executive</t>
  </si>
  <si>
    <t>https://youtube.com/channel/UCLdK05uGTvWHzZs_aE01xhg</t>
  </si>
  <si>
    <t>Gouvernement Comores</t>
  </si>
  <si>
    <t>Primature Gabon</t>
  </si>
  <si>
    <t>Primeiro Ministro</t>
  </si>
  <si>
    <t>MBuhari</t>
  </si>
  <si>
    <t>Avec ADO - Officiel</t>
  </si>
  <si>
    <t>UCOYUOwClHjweriDcsHX6mTQ</t>
  </si>
  <si>
    <t>https://youtube.com/channel/UCp_iicCGZGGs8fgmc1hMUYg</t>
  </si>
  <si>
    <t>MFA KOSOVO</t>
  </si>
  <si>
    <t>Hage Geingob</t>
  </si>
  <si>
    <t>GOVERNO DE ANGOLA</t>
  </si>
  <si>
    <t>Agency for Public Information SVG</t>
  </si>
  <si>
    <t>Communication Présidence de la République de Madagascar</t>
  </si>
  <si>
    <t>https://youtube.com/DeguoDiplo</t>
  </si>
  <si>
    <t>Department of Foreign Affairs and Trade</t>
  </si>
  <si>
    <t>dilmarousseff</t>
  </si>
  <si>
    <t>https://youtube.com/diplomatiebelgium</t>
  </si>
  <si>
    <t>Dominica Government (GIS)</t>
  </si>
  <si>
    <t>UC4hlUPhJxEvAwW-yli8kHpw</t>
  </si>
  <si>
    <t>UCMPaviJxybo1RTdzvYcU91A</t>
  </si>
  <si>
    <t>https://youtube.com/ForminFinland</t>
  </si>
  <si>
    <t>https://youtube.com/GermanijaDiplo</t>
  </si>
  <si>
    <t>https://youtube.com/GermanyDiplo</t>
  </si>
  <si>
    <t>GIS Dominica</t>
  </si>
  <si>
    <t>Press Secretary, Govt of Samoa</t>
  </si>
  <si>
    <t>South African Government</t>
  </si>
  <si>
    <t>GruevskiNikola</t>
  </si>
  <si>
    <t>خليفة بن زايد</t>
  </si>
  <si>
    <t>khamenei.ir</t>
  </si>
  <si>
    <t>UCWC5pqZ1x2Tjcs97vOSsu8w</t>
  </si>
  <si>
    <t>Ayatollah Khamenei</t>
  </si>
  <si>
    <t>وزارة الخارجية السعودية</t>
  </si>
  <si>
    <t>Kungahuset</t>
  </si>
  <si>
    <t>Libyan Government</t>
  </si>
  <si>
    <t>Martelly2010</t>
  </si>
  <si>
    <t>UCzovlWQBDtQCpYWZl1ly4jg</t>
  </si>
  <si>
    <t>وزارة الخارجية والتعاون الدولي - الإمارات العربية المتحدة</t>
  </si>
  <si>
    <t>Gouvernement Monaco</t>
  </si>
  <si>
    <t>PalaciodoPlanalto</t>
  </si>
  <si>
    <t>مركز الاعلام الحكومي Government media center</t>
  </si>
  <si>
    <t>pmoindia</t>
  </si>
  <si>
    <t>Présidence de la République Gabonaise</t>
  </si>
  <si>
    <t>Presidencia República Dominicana</t>
  </si>
  <si>
    <t>UCncq73xfx9sVA3Ht2uVRrCw</t>
  </si>
  <si>
    <t>UCAse8hbO5eLnyxQE9OTVftQ</t>
  </si>
  <si>
    <t>Hassan Rouhani</t>
  </si>
  <si>
    <t>State House Website</t>
  </si>
  <si>
    <t>بوابة سعودي</t>
  </si>
  <si>
    <t>UC6ZhpmNnLxlOYipqh8wbM3A</t>
  </si>
  <si>
    <t>ThaiKhuFah</t>
  </si>
  <si>
    <t>UCTkC3Jt91QkqNAE4FGWkEIQ</t>
  </si>
  <si>
    <t>TheSKNIS</t>
  </si>
  <si>
    <t>UCWl6ZVke4P2GYpk6eq4BPIQ</t>
  </si>
  <si>
    <t>USAdar Farsi</t>
  </si>
  <si>
    <t>UCON6ecQD3G8_T3RkvTXZNFg</t>
  </si>
  <si>
    <t>The Vatican - 中文</t>
  </si>
  <si>
    <t>UCYxRlFDqcWM4y7FfpiAN3KQ</t>
  </si>
  <si>
    <t>https://youtube.com/presidentlv</t>
  </si>
  <si>
    <t>https://youtube.com/MRREEUY</t>
  </si>
  <si>
    <t>https://youtube.com/regjeringen</t>
  </si>
  <si>
    <r>
      <t>Activity</t>
    </r>
    <r>
      <rPr>
        <sz val="12"/>
        <color rgb="FF000000"/>
        <rFont val="Calibri"/>
        <family val="2"/>
      </rPr>
      <t xml:space="preserve"> (Active, Inactive, Dormant if no videos for a year)</t>
    </r>
  </si>
  <si>
    <t>Foreign Ministry, Philippines</t>
  </si>
  <si>
    <t>State Department, United States</t>
  </si>
  <si>
    <t>Presidency, United States</t>
  </si>
  <si>
    <t>Government, Hungary</t>
  </si>
  <si>
    <t>Government, Argentina</t>
  </si>
  <si>
    <t>Government, Brazil</t>
  </si>
  <si>
    <t>Government, Ivory Coast</t>
  </si>
  <si>
    <t>/sigcolombia</t>
  </si>
  <si>
    <t>/RTVMalacanang</t>
  </si>
  <si>
    <t>/statevideo</t>
  </si>
  <si>
    <t>/whitehouse</t>
  </si>
  <si>
    <t>/kormanyhu</t>
  </si>
  <si>
    <t>/palaciodoplanalto</t>
  </si>
  <si>
    <t>/gouvcivideo</t>
  </si>
  <si>
    <t>Religious Leader, Vatican</t>
  </si>
  <si>
    <t>Commission, EU</t>
  </si>
  <si>
    <t>Government, Singapore</t>
  </si>
  <si>
    <t>President, Mexico</t>
  </si>
  <si>
    <t>/TheRoyalChannel</t>
  </si>
  <si>
    <t>/eutube</t>
  </si>
  <si>
    <t>/EnriquePenaNietoTV</t>
  </si>
  <si>
    <t>/QueenRania</t>
  </si>
  <si>
    <t>/vucicaleksandar</t>
  </si>
  <si>
    <t>/presidenciaec</t>
  </si>
  <si>
    <t>/Israel</t>
  </si>
  <si>
    <t>Presidency, Ecuador</t>
  </si>
  <si>
    <t>Prime Minister, Serbia</t>
  </si>
  <si>
    <t>Government, Israel</t>
  </si>
  <si>
    <t>Foreign Ministry, Israel</t>
  </si>
  <si>
    <t>/PresidentGovUa</t>
  </si>
  <si>
    <t>/bundesregierung</t>
  </si>
  <si>
    <t>Presidency, Ukraine</t>
  </si>
  <si>
    <t>Government, Germany</t>
  </si>
  <si>
    <t>Most Commented World Leaders</t>
  </si>
  <si>
    <t>Total Interactions</t>
  </si>
  <si>
    <t>Total number of interactions</t>
  </si>
  <si>
    <t>Most Engaged World Leaders</t>
  </si>
  <si>
    <t>Average Interactions/Video</t>
  </si>
  <si>
    <t>Most Engaging World Leaders</t>
  </si>
  <si>
    <t>Average interactions per video per subscriber</t>
  </si>
  <si>
    <t>/AlsisiOfficial</t>
  </si>
  <si>
    <t>/KlausIohannis</t>
  </si>
  <si>
    <t>President, Romania</t>
  </si>
  <si>
    <t>/BorutPahor</t>
  </si>
  <si>
    <t>/ThaiKhuFah</t>
  </si>
  <si>
    <t>/prcavacosilva</t>
  </si>
  <si>
    <t>/mreparaguay</t>
  </si>
  <si>
    <t>/USAdarFarsi</t>
  </si>
  <si>
    <t>/mfaethiopia</t>
  </si>
  <si>
    <t>/OPMJamaica</t>
  </si>
  <si>
    <t>/kbzayed</t>
  </si>
  <si>
    <t>/guvernulromaniei</t>
  </si>
  <si>
    <t>President, Slovenia</t>
  </si>
  <si>
    <t>Government, Thailand</t>
  </si>
  <si>
    <t>Government, Romania</t>
  </si>
  <si>
    <t>President, Portugal</t>
  </si>
  <si>
    <t>Foreign Ministry, Paraguay</t>
  </si>
  <si>
    <t>Foreign Ministry, Ethiopia</t>
  </si>
  <si>
    <t>Government, Jamaica</t>
  </si>
  <si>
    <t>President, United Arab Emirates</t>
  </si>
  <si>
    <t>UCdn86UYrf54lXfVli9CB6Aw</t>
  </si>
  <si>
    <t>UCp8W1bzofvzB8MfZSkYW2xw</t>
  </si>
  <si>
    <t>Prezydent Andrzej Duda</t>
  </si>
  <si>
    <t>https://www.youtube.com/channel/UCSioGcVnP1zPzR3Ko-T1w1Q</t>
  </si>
  <si>
    <t>/BarackObama</t>
  </si>
  <si>
    <t>United States, Presidency</t>
  </si>
  <si>
    <t>Mexico, President</t>
  </si>
  <si>
    <t>United States, President</t>
  </si>
  <si>
    <t>Ukraine, Presidency</t>
  </si>
  <si>
    <t>Argentina, President</t>
  </si>
  <si>
    <t>Ukraine, President</t>
  </si>
  <si>
    <t>Italy, Government</t>
  </si>
  <si>
    <t>Argentina, Government</t>
  </si>
  <si>
    <t>Mexico, Presidency</t>
  </si>
  <si>
    <t>India, Prime Minister</t>
  </si>
  <si>
    <t>/mauriciomacri</t>
  </si>
  <si>
    <t>/poroshenkopetro</t>
  </si>
  <si>
    <t>/palazzochigi</t>
  </si>
  <si>
    <t>President, Guatemala</t>
  </si>
  <si>
    <t>President, Ukraine</t>
  </si>
  <si>
    <t>/jimmymoralesgt</t>
  </si>
  <si>
    <t>Oldest Videos</t>
  </si>
  <si>
    <t>Rank</t>
  </si>
  <si>
    <t>Video URL</t>
  </si>
  <si>
    <t>Video Title</t>
  </si>
  <si>
    <t>Video Description</t>
  </si>
  <si>
    <t>Video Published Date</t>
  </si>
  <si>
    <t>Interactions</t>
  </si>
  <si>
    <t>Interactions/views</t>
  </si>
  <si>
    <t>http://www.youtube.com/watch?v=WYgDAmtrcJQ</t>
  </si>
  <si>
    <t>Barack Obama on Federal Spending Transparency Bill</t>
  </si>
  <si>
    <t>Obama 2012: Are you in? http://my.barackobama.com/fedtransvid_x000D_
_x000D_
Senator Barack Obama is interviewed on CNN about the Coburn/Obama "Transparency Bill"  It will create a searchable public website of all Federal spending.</t>
  </si>
  <si>
    <t>2006-09-14T22:25:45.000Z</t>
  </si>
  <si>
    <t>BarackObamadotcom</t>
  </si>
  <si>
    <t>http://www.youtube.com/watch?v=tPIkT10L7Gk</t>
  </si>
  <si>
    <t>Convegno sulla "città wireless"</t>
  </si>
  <si>
    <t>Convegno in Palazzo Medici Riccardi sulle nuove tecnologie wireless al servizio dei cittadini.</t>
  </si>
  <si>
    <t>2006-11-08T10:07:21.000Z</t>
  </si>
  <si>
    <t>http://www.youtube.com/watch?v=LXYAyHAAiCY</t>
  </si>
  <si>
    <t>Interview with Laurie Oakes on Water in Australia</t>
  </si>
  <si>
    <t>Political editor Laurie Oakes speaks with Malcolm Turnbull about his call for greater private sector investment in water infrastru Political editor Laurie Oakes speaks with Malcolm Turnbull about his call for greater private sector investment in water infrastructure</t>
  </si>
  <si>
    <t>2007-03-21T00:03:41.000Z</t>
  </si>
  <si>
    <t>This video's poster has disabled likes counts on this video</t>
  </si>
  <si>
    <t>This video's poster has disabled dislikes counts on this video</t>
  </si>
  <si>
    <t>http://www.youtube.com/watch?v=5uPG0nL-9Jw</t>
  </si>
  <si>
    <t>Policy Podcast: Avian Flu</t>
  </si>
  <si>
    <t>John E. Lange, Special Representative, Avian and Pandemic Influenza, discusses the issues related to the Avian flu threat with U.S. Department of State Spokesman Sean McCormack. For more video and text transcripts, go to http://www.video.state.gov.</t>
  </si>
  <si>
    <t>2007-04-04T21:30:33.000Z</t>
  </si>
  <si>
    <t>http://www.youtube.com/watch?v=Q-UgBwejYJ8</t>
  </si>
  <si>
    <t>Launch of the Programme for Research (FP7)</t>
  </si>
  <si>
    <t>http://cordis.europa.eu/fp7/home_en.html_x000D_
FP7 is the short name for the Seventh Framework Programme for Research and Technological Development. This is the EU's main instrument for funding research in Europe and it will run from 2007-2013. FP7 is also designed to respond to Europe's employment needs, competitiveness and quality of life.</t>
  </si>
  <si>
    <t>2007-06-08T10:55:28.000Z</t>
  </si>
  <si>
    <t>This video's poster has disabled comments counts on this video</t>
  </si>
  <si>
    <t>http://www.youtube.com/watch?v=7KMMU-tADFA</t>
  </si>
  <si>
    <t>Know before you go campaign - Options</t>
  </si>
  <si>
    <t>The Know Before You Go Campaign is a joint venture between the FCO and the travel industry to ensure that British travellers are better prepared when they go overseas.</t>
  </si>
  <si>
    <t>2007-09-21T14:17:14.000Z</t>
  </si>
  <si>
    <t>http://www.youtube.com/watch?v=gKiOcdM6Gbk</t>
  </si>
  <si>
    <t>Garden Parties</t>
  </si>
  <si>
    <t>A short film showing footage from a Garden Party at Buckingham Palace. The annual events provide a unique opportunity for members of the general public to be thanked for their contributions to public life.</t>
  </si>
  <si>
    <t>2007-10-11T14:11:01.000Z</t>
  </si>
  <si>
    <t>http://www.youtube.com/watch?v=kUhqoNS7axM</t>
  </si>
  <si>
    <t>دیدار شورای عالی انقلاب فرهنگی با رهبر</t>
  </si>
  <si>
    <t>آذر 86</t>
  </si>
  <si>
    <t>2007-12-09T10:20:55.000Z</t>
  </si>
  <si>
    <t>http://www.youtube.com/watch?v=X2gupFIJC9g</t>
  </si>
  <si>
    <t>Carl Bildt möter Lettlands utrikesminister Maris Riekstins</t>
  </si>
  <si>
    <t>Torsdagen den 17 januari möttte Carl Bildt Lettlands nye utrikesminister som besöker Stockholm. Efter utrikesministrarnas möte framhöll Carl Bildt att näringslivet i östersjöregionen har ett dynamiskt utbyte._x000D_
- Något som inte många vet är att vår export till Baltikum är nästan lika stor som den till Kina, sade Bildt.</t>
  </si>
  <si>
    <t>2008-01-21T13:40:23.000Z</t>
  </si>
  <si>
    <t>http://www.youtube.com/watch?v=TFf897bUW2Y</t>
  </si>
  <si>
    <t>YOUTUBE EXCLUSIVE: Send me your stereotypes (الملكة رانيا)</t>
  </si>
  <si>
    <t>Queen Rania is launching her presence on YouTube with this exclusive video._x000D_
_x000D_
Watch the clip to hear her message to YouTubers everywhere, and then join in the conversation._x000D_
_x000D_
الملكة رانيا تنضم الى عالم اليوتيوب._x000D_
 شاهد   الفيديو الأول واستمع لرسالتها إلى زوار يوتيوب من مختلف أنحاء العالم ثم شارك في الحوار</t>
  </si>
  <si>
    <t>2008-03-31T06:26:37.000Z</t>
  </si>
  <si>
    <t>Most Liked Videos</t>
  </si>
  <si>
    <t>http://www.youtube.com/watch?v=GbR6iQ62v9k</t>
  </si>
  <si>
    <t>The YouTube Interview with President Obama</t>
  </si>
  <si>
    <t>YouTube creators Bethany Mota, GloZell Green and Hank Green interview President Obama about the top issues facing them and their audiences. Live on Thursday, Jan 22, 2015 at 5pm ET.</t>
  </si>
  <si>
    <t>2015-01-22T23:04:05.000Z</t>
  </si>
  <si>
    <t>http://www.youtube.com/watch?v=pBK2rfZt32g</t>
  </si>
  <si>
    <t>President Obama: "I'm Really Proud of All of You."</t>
  </si>
  <si>
    <t>Thank you. This is your victory.
Share this: http://OFA.BO/KGcZrd
Tweet this: http://OFA.BO/oXu4tq</t>
  </si>
  <si>
    <t>2012-11-08T23:59:46.000Z</t>
  </si>
  <si>
    <t>http://www.youtube.com/watch?v=ZNYmK19-d0U</t>
  </si>
  <si>
    <t>President Obama on Death of Osama bin Laden</t>
  </si>
  <si>
    <t>President Obama praises those Americans who carried out the operation to kill Osama bin Laden, tells the families of the victims of September 11, 2001 that they have never been forgotten, and calls on Americans to remember the unity of that tragic day.</t>
  </si>
  <si>
    <t>2011-05-02T04:18:23.000Z</t>
  </si>
  <si>
    <t>http://www.youtube.com/watch?v=Tjl8ka3F6QU</t>
  </si>
  <si>
    <t>Top YouTube creators Destin Sandlin, Ingrid Nilsen and Adande Thorne interview President Obama from the East Room of the White House.</t>
  </si>
  <si>
    <t>2016-01-15T20:17:22.000Z</t>
  </si>
  <si>
    <t>http://www.youtube.com/watch?v=ZyU213nhrh0</t>
  </si>
  <si>
    <t>Steven Spielberg's "Obama"</t>
  </si>
  <si>
    <t>Created for the 2013 White House Correspondents Dinner</t>
  </si>
  <si>
    <t>2013-04-28T02:36:38.000Z</t>
  </si>
  <si>
    <t>http://www.youtube.com/watch?v=RsWpvkLCvu4</t>
  </si>
  <si>
    <t>Barack Obama on Ellen</t>
  </si>
  <si>
    <t>Obama 2012: Are you in? http://my.barackobama.com/ellenvid_x000D_
_x000D_
As a guest on The Ellen Degeneres Show, Barack shows off his dancing skills.</t>
  </si>
  <si>
    <t>2007-10-30T16:10:38.000Z</t>
  </si>
  <si>
    <t>http://www.youtube.com/watch?v=2POembdArVo</t>
  </si>
  <si>
    <t>The Road We've Traveled</t>
  </si>
  <si>
    <t>Are you in? https://my.barackobama.com/roadtraveledfullvid_x000D_
_x000D_
Remember how far we've come. From Academy Award®-winning director Davis Guggenheim: "The Road We've Traveled". _x000D_
_x000D_
This film gives an inside look at some of the tough calls President Obama made to get our country back on track. Featuring interviews from President Bill Clinton, Vice President Joe Biden, Mayor Rahm Emanuel, Elizabeth Warren, David Axelrod, Austan Goolsbee, and more. It's a film everyone should see.</t>
  </si>
  <si>
    <t>2012-03-16T00:36:11.000Z</t>
  </si>
  <si>
    <t>http://www.youtube.com/watch?v=mIA0W69U2_Y</t>
  </si>
  <si>
    <t>President Obama Makes a Statement on the Shooting in Newtown, Connecticut</t>
  </si>
  <si>
    <t>President Obama delivers a statement on today's shooting at a school in Newtown, Connecticut. December 14, 2012.</t>
  </si>
  <si>
    <t>2012-12-14T20:34:44.000Z</t>
  </si>
  <si>
    <t>http://www.youtube.com/watch?v=gZR1CvSQntE</t>
  </si>
  <si>
    <t>Raw Video: The President Takes a Surprise Walk</t>
  </si>
  <si>
    <t xml:space="preserve">The President was heading over to the nearby Department of the Interior and decided to break with tradition and take a Springtime walk. On the way, he got a chance to meet with all sorts of folks, who weren't expecting to meet the President of the United States of America.
</t>
  </si>
  <si>
    <t>2014-05-22T15:03:11.000Z</t>
  </si>
  <si>
    <t>http://www.youtube.com/watch?v=Jll5baCAaQU</t>
  </si>
  <si>
    <t>President-Elect Barack Obama in Chicago</t>
  </si>
  <si>
    <t>Obama 2012: Are you in? http://my.barackobama.com/preselectvid_x000D_
_x000D_
Barack Obama was elected the 44th President of the United States on November 4th, 2008 in Chicago.</t>
  </si>
  <si>
    <t>2008-11-05T11:19:54.000Z</t>
  </si>
  <si>
    <t>Most Disliked Videos</t>
  </si>
  <si>
    <t>http://www.youtube.com/watch?v=n1kaClgDbZ4</t>
  </si>
  <si>
    <t>Peña Nieto - Spot "Un Presidente que escuche, respete y gobierne para todos"</t>
  </si>
  <si>
    <t xml:space="preserve"> </t>
  </si>
  <si>
    <t>2012-05-14T21:42:48.000Z</t>
  </si>
  <si>
    <t>http://www.youtube.com/watch?v=BdjoHA5ocwU</t>
  </si>
  <si>
    <t>President Obama Announces the 2012 Launch of African Americans for Obama</t>
  </si>
  <si>
    <t>Join African Americans for Obama: https://my.barackobama.com/afampotusvid_x000D_
_x000D_
Today, we're announcing the 2012 launch of African Americans for Obama._x000D_
_x000D_
There's no better time than African American History Month to consider the tremendous progress we've made through the sacrifice of so many—or a better time to commit to meeting the very real challenges we face right now. _x000D_
_x000D_
Visit africanamericans.barackobama.com for more information about all the ways you can get involved—from attending HBCU organizing workshops to becoming a Congregation Captain—and say you're ready to keep making history. Thanks, and see you out there.</t>
  </si>
  <si>
    <t>2012-02-01T05:18:16.000Z</t>
  </si>
  <si>
    <t>http://www.youtube.com/watch?v=o6G3nwhPuR4</t>
  </si>
  <si>
    <t>Lena Dunham: Your First Time</t>
  </si>
  <si>
    <t>Your first time? Get started here: http://OFA.BO/A6Eeak
Lena Dunham talks about her first time voting and why she's voting for President Obama.</t>
  </si>
  <si>
    <t>2012-10-25T17:19:07.000Z</t>
  </si>
  <si>
    <t>http://www.youtube.com/watch?v=OYZXA05_vAU</t>
  </si>
  <si>
    <t>Peña Nieto - Foro Buen Ciudadano Ibero</t>
  </si>
  <si>
    <t>Enrique Peña Nieto durante el foro "Buen Ciudadano" en la Universidad Iberoamericana.
Ciudad de México
12 de mayo de 2012</t>
  </si>
  <si>
    <t>2012-05-12T17:31:57.000Z</t>
  </si>
  <si>
    <t>http://www.youtube.com/watch?v=yEM1Xnx4Uvs</t>
  </si>
  <si>
    <t>La Buona Scuola (clip integrale)</t>
  </si>
  <si>
    <t>2015-05-13T15:12:06.000Z</t>
  </si>
  <si>
    <t>http://www.youtube.com/watch?v=-KoaMdjRN7A</t>
  </si>
  <si>
    <t>Peña Nieto - Tercer Grado (Completo) 23 mayo 2012</t>
  </si>
  <si>
    <t>Enrique Peña Nieto durante el programa Tercer Grado.
Distrito Federal
23 de mayo de 2012</t>
  </si>
  <si>
    <t>2012-05-24T06:56:22.000Z</t>
  </si>
  <si>
    <t>http://www.youtube.com/watch?v=n9Kb-7_sUBo</t>
  </si>
  <si>
    <t>Новорічне привітання Президента України</t>
  </si>
  <si>
    <t>2015-12-31T21:50:21.000Z</t>
  </si>
  <si>
    <t>http://www.youtube.com/watch?v=Ab0NydUKs3o</t>
  </si>
  <si>
    <t>Peña Nieto - Ganó México</t>
  </si>
  <si>
    <t>2012-07-02T01:18:14.000Z</t>
  </si>
  <si>
    <t>http://www.youtube.com/watch?v=d1kR4q0x_T8</t>
  </si>
  <si>
    <t>Peña Nieto y Angélica Rivera - Feliz Navidad</t>
  </si>
  <si>
    <t>Mensaje Navideño de Enrique Peña Nieto y Angélica Rivera._x000D_
_x000D_
Navidad 2011</t>
  </si>
  <si>
    <t>2012-03-30T06:08:18.000Z</t>
  </si>
  <si>
    <t>http://www.youtube.com/watch?v=Zgfi7wnGZlE</t>
  </si>
  <si>
    <t>2012 State Of The Union Address: Enhanced Version</t>
  </si>
  <si>
    <t>President Obama delivers the 2012 State of the Union Address to Congress and the nation.</t>
  </si>
  <si>
    <t>2012-01-25T05:06:09.000Z</t>
  </si>
  <si>
    <t>http://www.youtube.com/watch?v=pWe7wTVbLUU</t>
  </si>
  <si>
    <t>Obama Speech: 'A More Perfect Union'</t>
  </si>
  <si>
    <t>Obama 2012: Are you in? http://my.barackobama.com/moreperfectvid_x000D_
_x000D_
Barack Obama speaks in Philadelphia, PA at Constitution Center, on matters not just of race and recent remarks but of the fundamental path by which America can work together to pursue a better future.</t>
  </si>
  <si>
    <t>2008-03-18T16:02:04.000Z</t>
  </si>
  <si>
    <t>Videos with the Most Interactions</t>
  </si>
  <si>
    <t>Average Views/Video</t>
  </si>
  <si>
    <t>/presstj</t>
  </si>
  <si>
    <t>/AndrzejDuda</t>
  </si>
  <si>
    <t>World Leaders with the most Subscribers on YouTube</t>
  </si>
  <si>
    <t>TOTAL NUMBER OF SUBSCRIBERS</t>
  </si>
  <si>
    <t>/WhiteHouse</t>
  </si>
  <si>
    <t>/NarendraModi</t>
  </si>
  <si>
    <t>/Vatican</t>
  </si>
  <si>
    <t>/CasaRosada</t>
  </si>
  <si>
    <t>/GobiernoFederal</t>
  </si>
  <si>
    <t>/GouvernementFR</t>
  </si>
  <si>
    <t>/Kungahuset</t>
  </si>
  <si>
    <t>/GovSingapore</t>
  </si>
  <si>
    <t>/IsraeliPM</t>
  </si>
  <si>
    <t>Most Effective World Leaders on YouTube</t>
  </si>
  <si>
    <t>AVERAGE NUMBER OF VIEWS PER VIDEO</t>
  </si>
  <si>
    <t>Government, France</t>
  </si>
  <si>
    <t>Royal Household, Sweden</t>
  </si>
  <si>
    <t>Presidency, Tajikistan</t>
  </si>
  <si>
    <t>President, Poland</t>
  </si>
  <si>
    <t>US President</t>
  </si>
  <si>
    <t>Queen of Jordan</t>
  </si>
  <si>
    <t>Royal Household, UK</t>
  </si>
  <si>
    <t>Most Watched World Leaders on YouTube</t>
  </si>
  <si>
    <t>TOTAL NUMBER OF VIDEO VIEWS</t>
  </si>
  <si>
    <t>TOTAL NUMBER OF VIDEOS POSTED</t>
  </si>
  <si>
    <t>Presidency, US</t>
  </si>
  <si>
    <t>AVERAGE INTERACTIONS PER VIDEO</t>
  </si>
  <si>
    <t>Most Active World Leaders on YouTube</t>
  </si>
  <si>
    <t>/VucicAleksandar</t>
  </si>
  <si>
    <t>Average Likes/Video</t>
  </si>
  <si>
    <t>Average Dislikes/Video</t>
  </si>
  <si>
    <t>TOTAL NUMBER OF LIKES ON ALL VIDEOS</t>
  </si>
  <si>
    <t>TOTAL NUMBER OF DISLIKES ON ALL VIDEOS</t>
  </si>
  <si>
    <t>TOTAL NUMBER OF COMMENTS ON ALL VIDEOS</t>
  </si>
  <si>
    <t>Most Liked World Leaders on YouTube</t>
  </si>
  <si>
    <t>Most Disliked World Leaders on YouTube</t>
  </si>
  <si>
    <t>AVERAGE NUMBER OF LIKES PER VIDEO</t>
  </si>
  <si>
    <t>AVERAGE NUMBER OF DISLIKES PER VIDEO</t>
  </si>
  <si>
    <t>/fico2014</t>
  </si>
  <si>
    <t>/michellebacheletpdta</t>
  </si>
  <si>
    <t>/abdelaziz_bouteflika</t>
  </si>
  <si>
    <t>/royalhashemitecourt</t>
  </si>
  <si>
    <t>Prime Minister, Slovakia</t>
  </si>
  <si>
    <t>President, Chile</t>
  </si>
  <si>
    <t>President, Algeria</t>
  </si>
  <si>
    <t>Abdelaziz Bouteflika</t>
  </si>
  <si>
    <t>Presidential Administration</t>
  </si>
  <si>
    <t>Petro Poroshenko</t>
  </si>
  <si>
    <t>Royal Court, Jordan</t>
  </si>
  <si>
    <t>http://www.youtube.com/watch?v=koRlFnBlDH0</t>
  </si>
  <si>
    <t>Film lovers will love this!</t>
  </si>
  <si>
    <t>http://www.ec.europa.eu/media/_x000D_
Coming together to celebrate European films - every year 300 new European film projects are supported by MEDIA</t>
  </si>
  <si>
    <t>2007-06-15T09:06:47.000Z</t>
  </si>
  <si>
    <t>http://www.youtube.com/watch?v=Fe751kMBwms</t>
  </si>
  <si>
    <t>Barack Obama: Yes We Can</t>
  </si>
  <si>
    <t>Barack Obama speaks in Nashua, New Hampshire on the night of the primary.</t>
  </si>
  <si>
    <t>2008-01-09T09:49:24.000Z</t>
  </si>
  <si>
    <t>http://www.youtube.com/watch?v=6rGaE5je7vE</t>
  </si>
  <si>
    <t>Will Ferrell Will Do Anything to Get You to Vote</t>
  </si>
  <si>
    <t>He'll dance, he'll cook—Will Ferrell will do anything to get you to vote in this election. Confirm where you vote here: http://OFA.BO/qF51sn
"Vote Obama! It's a slam dunk!"</t>
  </si>
  <si>
    <t>2012-11-03T20:59:52.000Z</t>
  </si>
  <si>
    <t>Most Viewed Videos</t>
  </si>
  <si>
    <t>Not on YouTube</t>
  </si>
  <si>
    <t>23 North American countries</t>
  </si>
  <si>
    <t>Countries on YouTube (including Heads of State &amp; Govt &amp; FMs)</t>
  </si>
  <si>
    <t>Countries not on YouTube</t>
  </si>
  <si>
    <t>% of all countries on YouTube (including MFAs &amp; HoG)</t>
  </si>
  <si>
    <t>% of African countries on YouTube</t>
  </si>
  <si>
    <t>% of European countries on YouTube</t>
  </si>
  <si>
    <t>% of Oceania countries on YouTube</t>
  </si>
  <si>
    <t>% of South American countries on YouTube</t>
  </si>
  <si>
    <t>% of Asian countries on YouTube</t>
  </si>
  <si>
    <t>% of North American countries on YouTube</t>
  </si>
  <si>
    <t>The heads of state and government and foreign ministers of 149 countries have an official presence on YouTube, representing 77% of all UN member states.</t>
  </si>
  <si>
    <t>148 countries</t>
  </si>
  <si>
    <t>45 UN countries not on YouTube</t>
  </si>
  <si>
    <t>55 Presidents (Heads of State, Personal Accounts)</t>
  </si>
  <si>
    <t>56 Presidencies (Institutional Accounts)</t>
  </si>
  <si>
    <t>35 Prime Ministers (Heads of Government, Personal Accounts)</t>
  </si>
  <si>
    <t>80 Governments (Institutional Accounts)</t>
  </si>
  <si>
    <t>8 foreign ministers</t>
  </si>
  <si>
    <t>65 foreign ministries</t>
  </si>
  <si>
    <t>The heads of state and government of 77 countries have a personal YouTube channel</t>
  </si>
  <si>
    <t>https://youtube.com/channel/UCt6Fq64J2rTswe4uhZtxNtg</t>
  </si>
  <si>
    <t>https://youtube.com/user/NoyTV</t>
  </si>
  <si>
    <t>Presiden Joko Widodo</t>
  </si>
  <si>
    <t>PMO India</t>
  </si>
  <si>
    <t>https://youtube.com/PMOfficeIndia</t>
  </si>
  <si>
    <t>World Leaders with the most subscribers on YouTube</t>
  </si>
  <si>
    <t>Barack Obama</t>
  </si>
  <si>
    <t>UK</t>
  </si>
  <si>
    <t>Casa Rosada</t>
  </si>
  <si>
    <t>Presidency, Argentina</t>
  </si>
  <si>
    <t>World Leaders with the most views on YouTube</t>
  </si>
  <si>
    <t xml:space="preserve">TOTAL NUMBER OF VIDEO VIEWS </t>
  </si>
  <si>
    <t>/Eutube</t>
  </si>
  <si>
    <t>/Govsingapore</t>
  </si>
  <si>
    <t>Govsingapore</t>
  </si>
  <si>
    <t>Most Engaged World Leaders on YouTube</t>
  </si>
  <si>
    <t>TOTAL NUMBER OF INTERACTIONS (LIKES, DISLIKES &amp; COMMENTS)</t>
  </si>
  <si>
    <t>/Presidenciaec</t>
  </si>
  <si>
    <t xml:space="preserve">Casa Rosada </t>
  </si>
  <si>
    <t>/Israelipm</t>
  </si>
  <si>
    <t>Israeli Prime Minister</t>
  </si>
  <si>
    <t>Prime Minister, Israel</t>
  </si>
  <si>
    <t>/Statevideo</t>
  </si>
  <si>
    <t>US State Department</t>
  </si>
  <si>
    <t>President, US</t>
  </si>
  <si>
    <t>/JimmyMoralesgt</t>
  </si>
  <si>
    <t>/Poroshenkopetro</t>
  </si>
  <si>
    <t xml:space="preserve">Petro Poroshenko </t>
  </si>
  <si>
    <t>TOTAL NUMBER OF VIDEOS</t>
  </si>
  <si>
    <t>/SigColombia</t>
  </si>
  <si>
    <t xml:space="preserve">Presidencia de la República </t>
  </si>
  <si>
    <t>Presidential Broadcast Staff</t>
  </si>
  <si>
    <t>Presidency, Philippines</t>
  </si>
  <si>
    <t>/Kormanyhu</t>
  </si>
  <si>
    <t>/PalaciodoPlanalto</t>
  </si>
  <si>
    <t>Palacio do Planalto</t>
  </si>
  <si>
    <t>/Gouvcivideo</t>
  </si>
  <si>
    <t>Gouvci</t>
  </si>
  <si>
    <t>Same as the Facebook &amp; Instagram footer (but please include the twiplomacy info):</t>
  </si>
  <si>
    <t>Burson-Marsteller.com  @B_M</t>
  </si>
  <si>
    <t>Twiplomacy.com @Twiplomacy</t>
  </si>
  <si>
    <t>Please change the footer:</t>
  </si>
  <si>
    <t xml:space="preserve">*Data collected on 3 March 2016 using Burson-Marsteller's proprietary Burson Tools.  Follow BursonMarsteller on YouTube </t>
  </si>
  <si>
    <t>World Leaders on YouTube &amp; Burson logo</t>
  </si>
  <si>
    <t>/PMOfficeIndia</t>
  </si>
  <si>
    <t>Didier Reynders</t>
  </si>
  <si>
    <t>https://youtube.com/channel/UCCpvchUhpiDXZaPNmvo8Cvw</t>
  </si>
  <si>
    <t>Countries on YouTube</t>
  </si>
  <si>
    <t>Approval Rate</t>
  </si>
  <si>
    <t>Disapproval Rate</t>
  </si>
  <si>
    <t>Total Like &amp; Dislike</t>
  </si>
  <si>
    <t>https://youtube.com/user/palaciodoplanalto</t>
  </si>
  <si>
    <r>
      <t>World Leaders on YouTube Master File</t>
    </r>
    <r>
      <rPr>
        <sz val="12"/>
        <color rgb="FF000000"/>
        <rFont val="Arial"/>
        <family val="2"/>
      </rPr>
      <t xml:space="preserve"> (Data as of 02.03.2016)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</si>
</sst>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Red]\-0\ "/>
  </numFmts>
  <fonts count="24" x14ac:knownFonts="1">
    <font>
      <sz val="11"/>
      <color theme="1"/>
      <name val="Calibri"/>
      <family val="2"/>
      <scheme val="minor"/>
    </font>
    <font>
      <b/>
      <sz val="12"/>
      <color rgb="FF000000"/>
      <name val="Arial"/>
      <family val="2"/>
    </font>
    <font>
      <sz val="12"/>
      <color rgb="FF000000"/>
      <name val="Arial"/>
      <family val="2"/>
    </font>
    <font>
      <b/>
      <sz val="12"/>
      <color rgb="FF000000"/>
      <name val="Calibri"/>
      <family val="2"/>
    </font>
    <font>
      <sz val="12"/>
      <color rgb="FF000000"/>
      <name val="Calibri"/>
      <family val="2"/>
    </font>
    <font>
      <sz val="12"/>
      <name val="Calibri"/>
      <family val="2"/>
    </font>
    <font>
      <u/>
      <sz val="12"/>
      <color rgb="FF0000FF"/>
      <name val="Calibri"/>
      <family val="2"/>
    </font>
    <font>
      <u/>
      <sz val="12"/>
      <color theme="10"/>
      <name val="Calibri"/>
      <family val="2"/>
    </font>
    <font>
      <u/>
      <sz val="12"/>
      <color rgb="FF000000"/>
      <name val="Calibri"/>
      <family val="2"/>
    </font>
    <font>
      <sz val="12"/>
      <color rgb="FF292F33"/>
      <name val="Calibri"/>
      <family val="2"/>
    </font>
    <font>
      <sz val="11"/>
      <color rgb="FF000000"/>
      <name val="Calibri"/>
      <family val="2"/>
      <scheme val="minor"/>
    </font>
    <font>
      <sz val="11"/>
      <color rgb="FF000000"/>
      <name val="Calibri"/>
      <family val="2"/>
    </font>
    <font>
      <b/>
      <sz val="12"/>
      <color theme="1"/>
      <name val="Calibri"/>
      <family val="2"/>
      <scheme val="minor"/>
    </font>
    <font>
      <sz val="11"/>
      <color theme="0" tint="-4.9989318521683403E-2"/>
      <name val="Calibri"/>
      <family val="2"/>
      <scheme val="minor"/>
    </font>
    <font>
      <sz val="11"/>
      <color theme="1"/>
      <name val="Calibri"/>
      <family val="2"/>
      <scheme val="minor"/>
    </font>
    <font>
      <b/>
      <sz val="11"/>
      <color theme="1"/>
      <name val="Calibri"/>
      <family val="2"/>
      <scheme val="minor"/>
    </font>
    <font>
      <u/>
      <sz val="11"/>
      <color theme="10"/>
      <name val="Calibri"/>
      <family val="2"/>
    </font>
    <font>
      <u/>
      <sz val="11"/>
      <color rgb="FF0000FF"/>
      <name val="Calibri"/>
      <family val="2"/>
    </font>
    <font>
      <sz val="11"/>
      <name val="Calibri"/>
      <family val="2"/>
    </font>
    <font>
      <u/>
      <sz val="11"/>
      <color rgb="FF000000"/>
      <name val="Calibri"/>
      <family val="2"/>
    </font>
    <font>
      <b/>
      <sz val="12"/>
      <color theme="1"/>
      <name val="Calibri"/>
      <family val="2"/>
    </font>
    <font>
      <sz val="11"/>
      <color theme="1"/>
      <name val="Calibri"/>
      <family val="2"/>
    </font>
    <font>
      <b/>
      <sz val="11"/>
      <color rgb="FF000000"/>
      <name val="Calibri"/>
      <family val="2"/>
    </font>
    <font>
      <b/>
      <sz val="14"/>
      <color theme="1"/>
      <name val="Calibri"/>
      <family val="2"/>
      <scheme val="minor"/>
    </font>
  </fonts>
  <fills count="12">
    <fill>
      <patternFill patternType="none"/>
    </fill>
    <fill>
      <patternFill patternType="gray125"/>
    </fill>
    <fill>
      <patternFill patternType="solid">
        <fgColor rgb="FFFFFFFF"/>
        <bgColor rgb="FFFFFFFF"/>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rgb="FF00B050"/>
        <bgColor indexed="64"/>
      </patternFill>
    </fill>
    <fill>
      <patternFill patternType="solid">
        <fgColor rgb="FF92D050"/>
        <bgColor indexed="64"/>
      </patternFill>
    </fill>
    <fill>
      <patternFill patternType="solid">
        <fgColor rgb="FFC4D79B"/>
        <bgColor indexed="64"/>
      </patternFill>
    </fill>
    <fill>
      <patternFill patternType="solid">
        <fgColor theme="1"/>
        <bgColor indexed="64"/>
      </patternFill>
    </fill>
    <fill>
      <patternFill patternType="solid">
        <fgColor rgb="FF8EA9DB"/>
        <bgColor indexed="64"/>
      </patternFill>
    </fill>
    <fill>
      <patternFill patternType="solid">
        <fgColor rgb="FF8EA9DB"/>
        <bgColor rgb="FF00B050"/>
      </patternFill>
    </fill>
  </fills>
  <borders count="34">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medium">
        <color indexed="64"/>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medium">
        <color auto="1"/>
      </bottom>
      <diagonal/>
    </border>
    <border>
      <left/>
      <right/>
      <top/>
      <bottom style="medium">
        <color indexed="64"/>
      </bottom>
      <diagonal/>
    </border>
    <border>
      <left/>
      <right style="medium">
        <color auto="1"/>
      </right>
      <top/>
      <bottom style="medium">
        <color auto="1"/>
      </bottom>
      <diagonal/>
    </border>
    <border>
      <left style="thin">
        <color auto="1"/>
      </left>
      <right style="medium">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auto="1"/>
      </right>
      <top/>
      <bottom/>
      <diagonal/>
    </border>
    <border>
      <left style="thin">
        <color auto="1"/>
      </left>
      <right style="medium">
        <color auto="1"/>
      </right>
      <top style="thin">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top/>
      <bottom style="medium">
        <color indexed="64"/>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bottom style="thin">
        <color auto="1"/>
      </bottom>
      <diagonal/>
    </border>
    <border>
      <left/>
      <right style="thin">
        <color auto="1"/>
      </right>
      <top/>
      <bottom style="thin">
        <color auto="1"/>
      </bottom>
      <diagonal/>
    </border>
  </borders>
  <cellStyleXfs count="2">
    <xf numFmtId="0" fontId="0" fillId="0" borderId="0"/>
    <xf numFmtId="0" fontId="7" fillId="0" borderId="0" applyNumberFormat="0" applyFill="0" applyBorder="0" applyAlignment="0" applyProtection="0"/>
  </cellStyleXfs>
  <cellXfs count="311">
    <xf numFmtId="0" fontId="0" fillId="0" borderId="0" xfId="0"/>
    <xf numFmtId="0" fontId="5" fillId="0" borderId="1" xfId="0" applyFont="1" applyBorder="1" applyAlignment="1">
      <alignment vertical="center"/>
    </xf>
    <xf numFmtId="0" fontId="4" fillId="0" borderId="1" xfId="0" applyFont="1" applyBorder="1" applyAlignment="1"/>
    <xf numFmtId="0" fontId="6" fillId="0" borderId="1" xfId="0" applyFont="1" applyBorder="1" applyAlignment="1">
      <alignment vertical="center"/>
    </xf>
    <xf numFmtId="0" fontId="0" fillId="0" borderId="1" xfId="0" applyFont="1" applyBorder="1" applyAlignment="1"/>
    <xf numFmtId="0" fontId="5" fillId="0" borderId="1" xfId="0" applyFont="1" applyBorder="1" applyAlignment="1"/>
    <xf numFmtId="0" fontId="5" fillId="0" borderId="1" xfId="0" applyFont="1" applyBorder="1" applyAlignment="1">
      <alignment horizontal="left" vertical="center"/>
    </xf>
    <xf numFmtId="0" fontId="7" fillId="0" borderId="1" xfId="1" applyBorder="1" applyAlignment="1">
      <alignment vertical="center"/>
    </xf>
    <xf numFmtId="0" fontId="7" fillId="2" borderId="1" xfId="1" applyFill="1" applyBorder="1" applyAlignment="1">
      <alignment vertical="center"/>
    </xf>
    <xf numFmtId="0" fontId="6" fillId="2" borderId="1" xfId="0" applyFont="1" applyFill="1" applyBorder="1" applyAlignment="1">
      <alignment vertical="center"/>
    </xf>
    <xf numFmtId="0" fontId="6" fillId="0" borderId="0" xfId="0" applyFont="1" applyBorder="1" applyAlignment="1">
      <alignment vertical="center"/>
    </xf>
    <xf numFmtId="0" fontId="0" fillId="0" borderId="0" xfId="0" applyFont="1" applyAlignment="1"/>
    <xf numFmtId="0" fontId="4" fillId="0" borderId="0" xfId="0" applyFont="1" applyAlignment="1"/>
    <xf numFmtId="0" fontId="5" fillId="0" borderId="0" xfId="0" applyFont="1" applyBorder="1" applyAlignment="1">
      <alignment vertical="center"/>
    </xf>
    <xf numFmtId="0" fontId="5" fillId="0" borderId="1" xfId="0" applyFont="1" applyFill="1" applyBorder="1" applyAlignment="1">
      <alignment vertical="center"/>
    </xf>
    <xf numFmtId="0" fontId="4" fillId="0" borderId="0" xfId="0" applyFont="1" applyBorder="1" applyAlignment="1"/>
    <xf numFmtId="0" fontId="2" fillId="2" borderId="0" xfId="0" applyFont="1" applyFill="1" applyBorder="1" applyAlignment="1"/>
    <xf numFmtId="0" fontId="4" fillId="2" borderId="0" xfId="0" applyFont="1" applyFill="1" applyBorder="1" applyAlignment="1"/>
    <xf numFmtId="0" fontId="7" fillId="0" borderId="1" xfId="1" applyBorder="1" applyAlignment="1"/>
    <xf numFmtId="0" fontId="7" fillId="0" borderId="1" xfId="1" applyBorder="1"/>
    <xf numFmtId="0" fontId="0" fillId="0" borderId="0" xfId="0" applyFont="1" applyBorder="1" applyAlignment="1"/>
    <xf numFmtId="1" fontId="4" fillId="0" borderId="0" xfId="0" applyNumberFormat="1" applyFont="1" applyBorder="1" applyAlignment="1"/>
    <xf numFmtId="49" fontId="5" fillId="0" borderId="1" xfId="0" applyNumberFormat="1" applyFont="1" applyBorder="1" applyAlignment="1">
      <alignment horizontal="left" vertical="center"/>
    </xf>
    <xf numFmtId="1" fontId="0" fillId="0" borderId="0" xfId="0" applyNumberFormat="1" applyFont="1" applyBorder="1" applyAlignment="1"/>
    <xf numFmtId="0" fontId="0" fillId="4" borderId="1" xfId="0" applyFill="1" applyBorder="1" applyAlignment="1">
      <alignment vertical="center"/>
    </xf>
    <xf numFmtId="0" fontId="0" fillId="0" borderId="1" xfId="0" applyFill="1" applyBorder="1" applyAlignment="1">
      <alignment vertical="center"/>
    </xf>
    <xf numFmtId="0" fontId="0" fillId="0" borderId="0" xfId="0" applyFill="1" applyBorder="1" applyAlignment="1">
      <alignment vertical="center"/>
    </xf>
    <xf numFmtId="49" fontId="5" fillId="0" borderId="0" xfId="0" applyNumberFormat="1" applyFont="1" applyFill="1" applyBorder="1" applyAlignment="1">
      <alignment horizontal="left" vertical="center"/>
    </xf>
    <xf numFmtId="0" fontId="0" fillId="0" borderId="0" xfId="0" applyFont="1" applyFill="1" applyBorder="1" applyAlignment="1"/>
    <xf numFmtId="0" fontId="7" fillId="0" borderId="1" xfId="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0" fillId="0" borderId="0" xfId="0" applyFill="1"/>
    <xf numFmtId="0" fontId="2" fillId="0" borderId="0" xfId="0" applyFont="1" applyFill="1" applyBorder="1" applyAlignment="1"/>
    <xf numFmtId="0" fontId="4" fillId="0" borderId="0" xfId="0" applyFont="1" applyFill="1" applyBorder="1" applyAlignment="1"/>
    <xf numFmtId="1" fontId="0" fillId="0" borderId="0" xfId="0" applyNumberFormat="1" applyFont="1" applyFill="1" applyBorder="1" applyAlignment="1"/>
    <xf numFmtId="1" fontId="4" fillId="0" borderId="0" xfId="0" applyNumberFormat="1" applyFont="1" applyFill="1" applyBorder="1" applyAlignment="1"/>
    <xf numFmtId="0" fontId="4" fillId="0" borderId="0" xfId="0" applyFont="1" applyFill="1" applyAlignment="1"/>
    <xf numFmtId="0" fontId="5" fillId="0" borderId="0" xfId="0" applyFont="1" applyFill="1" applyBorder="1" applyAlignment="1"/>
    <xf numFmtId="0" fontId="12" fillId="0" borderId="2" xfId="0" applyFont="1" applyBorder="1"/>
    <xf numFmtId="0" fontId="12" fillId="0" borderId="3" xfId="0" applyFont="1" applyBorder="1"/>
    <xf numFmtId="0" fontId="12" fillId="0" borderId="4" xfId="0" applyFont="1" applyBorder="1"/>
    <xf numFmtId="0" fontId="0" fillId="0" borderId="5" xfId="0" applyBorder="1"/>
    <xf numFmtId="0" fontId="0" fillId="0" borderId="6" xfId="0" applyBorder="1"/>
    <xf numFmtId="0" fontId="0" fillId="0" borderId="0" xfId="0" applyAlignment="1" applyProtection="1">
      <alignment vertical="top"/>
      <protection locked="0"/>
    </xf>
    <xf numFmtId="0" fontId="0" fillId="0" borderId="7" xfId="0" applyBorder="1"/>
    <xf numFmtId="0" fontId="0" fillId="0" borderId="1" xfId="0" applyBorder="1"/>
    <xf numFmtId="0" fontId="0" fillId="0" borderId="0" xfId="0" applyBorder="1"/>
    <xf numFmtId="0" fontId="7" fillId="0" borderId="6" xfId="1" applyBorder="1" applyAlignment="1"/>
    <xf numFmtId="0" fontId="7" fillId="0" borderId="6" xfId="1" applyBorder="1" applyAlignment="1">
      <alignment vertical="center"/>
    </xf>
    <xf numFmtId="0" fontId="6" fillId="0" borderId="6" xfId="0" applyFont="1" applyBorder="1" applyAlignment="1">
      <alignment vertical="center"/>
    </xf>
    <xf numFmtId="0" fontId="4" fillId="0" borderId="6" xfId="0" applyFont="1" applyBorder="1" applyAlignment="1"/>
    <xf numFmtId="0" fontId="7" fillId="2" borderId="6" xfId="1" applyFill="1" applyBorder="1" applyAlignment="1">
      <alignment vertical="center"/>
    </xf>
    <xf numFmtId="0" fontId="0" fillId="0" borderId="6" xfId="0" applyFont="1" applyBorder="1" applyAlignment="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Fill="1" applyBorder="1"/>
    <xf numFmtId="0" fontId="0" fillId="0" borderId="15" xfId="0" applyBorder="1"/>
    <xf numFmtId="0" fontId="0" fillId="0" borderId="16" xfId="0" applyBorder="1"/>
    <xf numFmtId="0" fontId="6" fillId="0" borderId="6" xfId="0" applyFont="1" applyFill="1" applyBorder="1" applyAlignment="1">
      <alignment vertical="center"/>
    </xf>
    <xf numFmtId="0" fontId="0" fillId="0" borderId="17" xfId="0" applyBorder="1"/>
    <xf numFmtId="0" fontId="6" fillId="0" borderId="1" xfId="0" applyFont="1" applyFill="1" applyBorder="1" applyAlignment="1">
      <alignment vertical="center"/>
    </xf>
    <xf numFmtId="1" fontId="6" fillId="0" borderId="1" xfId="0" applyNumberFormat="1" applyFont="1" applyFill="1" applyBorder="1" applyAlignment="1">
      <alignment vertical="center"/>
    </xf>
    <xf numFmtId="0" fontId="7" fillId="0" borderId="1" xfId="1" applyFill="1" applyBorder="1"/>
    <xf numFmtId="0" fontId="6" fillId="0" borderId="12" xfId="0" applyFont="1" applyFill="1" applyBorder="1" applyAlignment="1">
      <alignment vertical="center"/>
    </xf>
    <xf numFmtId="0" fontId="4" fillId="0" borderId="12" xfId="0" applyFont="1" applyBorder="1" applyAlignment="1"/>
    <xf numFmtId="0" fontId="0" fillId="0" borderId="2" xfId="0" applyBorder="1"/>
    <xf numFmtId="0" fontId="0" fillId="0" borderId="3" xfId="0" applyBorder="1"/>
    <xf numFmtId="0" fontId="0" fillId="0" borderId="4" xfId="0" applyBorder="1"/>
    <xf numFmtId="2" fontId="0" fillId="0" borderId="6" xfId="0" applyNumberFormat="1" applyBorder="1"/>
    <xf numFmtId="0" fontId="0" fillId="0" borderId="1" xfId="0" applyFill="1" applyBorder="1"/>
    <xf numFmtId="2" fontId="0" fillId="0" borderId="1" xfId="0" applyNumberFormat="1" applyBorder="1"/>
    <xf numFmtId="2" fontId="0" fillId="0" borderId="12" xfId="0" applyNumberFormat="1" applyBorder="1"/>
    <xf numFmtId="0" fontId="0" fillId="4" borderId="0" xfId="0" applyFill="1" applyBorder="1"/>
    <xf numFmtId="3" fontId="10" fillId="6" borderId="10" xfId="0" applyNumberFormat="1" applyFont="1" applyFill="1" applyBorder="1" applyAlignment="1">
      <alignment horizontal="right" vertical="center"/>
    </xf>
    <xf numFmtId="0" fontId="0" fillId="0" borderId="1" xfId="0" applyBorder="1" applyAlignment="1">
      <alignment vertical="top" wrapText="1"/>
    </xf>
    <xf numFmtId="3" fontId="10" fillId="7" borderId="17" xfId="0" applyNumberFormat="1" applyFont="1" applyFill="1" applyBorder="1" applyAlignment="1">
      <alignment horizontal="right" vertical="center"/>
    </xf>
    <xf numFmtId="3" fontId="10" fillId="8" borderId="17" xfId="0" applyNumberFormat="1" applyFont="1" applyFill="1" applyBorder="1" applyAlignment="1">
      <alignment horizontal="right" vertical="center"/>
    </xf>
    <xf numFmtId="0" fontId="13" fillId="9" borderId="1" xfId="0" applyFont="1" applyFill="1" applyBorder="1"/>
    <xf numFmtId="0" fontId="0" fillId="4" borderId="1" xfId="0" applyFill="1" applyBorder="1" applyAlignment="1">
      <alignment vertical="top" wrapText="1"/>
    </xf>
    <xf numFmtId="0" fontId="14" fillId="0" borderId="6" xfId="0" applyFont="1" applyBorder="1"/>
    <xf numFmtId="3" fontId="14" fillId="0" borderId="10" xfId="0" applyNumberFormat="1" applyFont="1" applyBorder="1"/>
    <xf numFmtId="0" fontId="14" fillId="4" borderId="1" xfId="0" applyFont="1" applyFill="1" applyBorder="1"/>
    <xf numFmtId="0" fontId="14" fillId="0" borderId="1" xfId="0" applyFont="1" applyBorder="1"/>
    <xf numFmtId="3" fontId="14" fillId="0" borderId="1" xfId="0" applyNumberFormat="1" applyFont="1" applyBorder="1"/>
    <xf numFmtId="3" fontId="14" fillId="0" borderId="17" xfId="0" applyNumberFormat="1" applyFont="1" applyBorder="1"/>
    <xf numFmtId="0" fontId="14" fillId="0" borderId="12" xfId="0" applyFont="1" applyBorder="1"/>
    <xf numFmtId="3" fontId="14" fillId="0" borderId="13" xfId="0" applyNumberFormat="1" applyFont="1" applyBorder="1"/>
    <xf numFmtId="0" fontId="0" fillId="0" borderId="1" xfId="0" applyFont="1" applyBorder="1"/>
    <xf numFmtId="0" fontId="16" fillId="0" borderId="1" xfId="1" applyFont="1" applyFill="1" applyBorder="1" applyAlignment="1">
      <alignment vertical="center"/>
    </xf>
    <xf numFmtId="0" fontId="17" fillId="0" borderId="1" xfId="0" applyFont="1" applyFill="1" applyBorder="1" applyAlignment="1">
      <alignment vertical="center"/>
    </xf>
    <xf numFmtId="0" fontId="16" fillId="0" borderId="1" xfId="1" applyFont="1" applyFill="1" applyBorder="1" applyAlignment="1"/>
    <xf numFmtId="49" fontId="18" fillId="0" borderId="1" xfId="0" applyNumberFormat="1" applyFont="1" applyFill="1" applyBorder="1" applyAlignment="1">
      <alignment horizontal="left" vertical="center"/>
    </xf>
    <xf numFmtId="0" fontId="16" fillId="0" borderId="1" xfId="1" applyFont="1" applyFill="1" applyBorder="1"/>
    <xf numFmtId="0" fontId="11" fillId="0" borderId="1" xfId="0" applyFont="1" applyFill="1" applyBorder="1" applyAlignment="1"/>
    <xf numFmtId="0" fontId="19" fillId="0" borderId="1" xfId="0" applyFont="1" applyFill="1" applyBorder="1" applyAlignment="1">
      <alignment vertical="center"/>
    </xf>
    <xf numFmtId="0" fontId="0" fillId="0" borderId="1" xfId="0" applyBorder="1" applyAlignment="1">
      <alignment vertical="center"/>
    </xf>
    <xf numFmtId="0" fontId="15" fillId="0" borderId="18" xfId="0" applyFont="1" applyFill="1" applyBorder="1" applyAlignment="1">
      <alignment vertical="center"/>
    </xf>
    <xf numFmtId="0" fontId="0" fillId="0" borderId="19" xfId="0" applyBorder="1"/>
    <xf numFmtId="0" fontId="0" fillId="0" borderId="20" xfId="0" applyBorder="1"/>
    <xf numFmtId="0" fontId="0" fillId="0" borderId="12" xfId="0" applyBorder="1" applyAlignment="1">
      <alignment vertical="center"/>
    </xf>
    <xf numFmtId="0" fontId="15" fillId="0" borderId="21" xfId="0" applyFont="1" applyFill="1" applyBorder="1" applyAlignment="1">
      <alignment vertical="center"/>
    </xf>
    <xf numFmtId="0" fontId="0" fillId="0" borderId="22" xfId="0" applyBorder="1"/>
    <xf numFmtId="0" fontId="0" fillId="0" borderId="6" xfId="0" applyBorder="1" applyAlignment="1">
      <alignment vertical="center"/>
    </xf>
    <xf numFmtId="3" fontId="0" fillId="0" borderId="1" xfId="0" applyNumberFormat="1" applyFont="1" applyBorder="1"/>
    <xf numFmtId="0" fontId="14" fillId="4" borderId="12" xfId="0" applyFont="1" applyFill="1" applyBorder="1"/>
    <xf numFmtId="0" fontId="15" fillId="4" borderId="18" xfId="0" applyFont="1" applyFill="1" applyBorder="1" applyAlignment="1">
      <alignment vertical="center"/>
    </xf>
    <xf numFmtId="0" fontId="0" fillId="4" borderId="19" xfId="0" applyFill="1" applyBorder="1"/>
    <xf numFmtId="0" fontId="0" fillId="4" borderId="20" xfId="0" applyFill="1" applyBorder="1"/>
    <xf numFmtId="0" fontId="15" fillId="4" borderId="21" xfId="0" applyFont="1" applyFill="1" applyBorder="1" applyAlignment="1">
      <alignment vertical="center"/>
    </xf>
    <xf numFmtId="0" fontId="0" fillId="4" borderId="22" xfId="0" applyFill="1" applyBorder="1"/>
    <xf numFmtId="0" fontId="0" fillId="4" borderId="5" xfId="0" applyFill="1" applyBorder="1"/>
    <xf numFmtId="0" fontId="14" fillId="4" borderId="6" xfId="0" applyFont="1" applyFill="1" applyBorder="1"/>
    <xf numFmtId="0" fontId="0" fillId="4" borderId="6" xfId="0" applyFill="1" applyBorder="1" applyAlignment="1">
      <alignment vertical="center"/>
    </xf>
    <xf numFmtId="0" fontId="0" fillId="4" borderId="7" xfId="0" applyFill="1" applyBorder="1"/>
    <xf numFmtId="0" fontId="0" fillId="4" borderId="11" xfId="0" applyFill="1" applyBorder="1"/>
    <xf numFmtId="0" fontId="0" fillId="4" borderId="12" xfId="0" applyFill="1" applyBorder="1" applyAlignment="1">
      <alignment vertical="center"/>
    </xf>
    <xf numFmtId="4" fontId="14" fillId="4" borderId="10" xfId="0" applyNumberFormat="1" applyFont="1" applyFill="1" applyBorder="1"/>
    <xf numFmtId="4" fontId="14" fillId="4" borderId="17" xfId="0" applyNumberFormat="1" applyFont="1" applyFill="1" applyBorder="1"/>
    <xf numFmtId="4" fontId="14" fillId="4" borderId="13" xfId="0" applyNumberFormat="1" applyFont="1" applyFill="1" applyBorder="1"/>
    <xf numFmtId="3" fontId="5" fillId="0" borderId="10" xfId="0" applyNumberFormat="1" applyFont="1" applyBorder="1" applyAlignment="1">
      <alignment horizontal="right" vertical="center"/>
    </xf>
    <xf numFmtId="3" fontId="5" fillId="2" borderId="17" xfId="1" applyNumberFormat="1" applyFont="1" applyFill="1" applyBorder="1" applyAlignment="1">
      <alignment horizontal="right" vertical="center"/>
    </xf>
    <xf numFmtId="3" fontId="5" fillId="2" borderId="13" xfId="1" applyNumberFormat="1" applyFont="1" applyFill="1" applyBorder="1" applyAlignment="1">
      <alignment horizontal="right" vertical="center"/>
    </xf>
    <xf numFmtId="3" fontId="0" fillId="0" borderId="10" xfId="0" applyNumberFormat="1" applyFont="1" applyBorder="1"/>
    <xf numFmtId="0" fontId="0" fillId="0" borderId="19" xfId="0" applyFill="1" applyBorder="1"/>
    <xf numFmtId="0" fontId="0" fillId="0" borderId="20" xfId="0" applyFill="1" applyBorder="1"/>
    <xf numFmtId="0" fontId="0" fillId="0" borderId="0" xfId="0" applyFill="1" applyBorder="1"/>
    <xf numFmtId="0" fontId="0" fillId="0" borderId="22" xfId="0" applyFill="1" applyBorder="1"/>
    <xf numFmtId="0" fontId="14" fillId="0" borderId="0" xfId="0" applyFont="1" applyBorder="1"/>
    <xf numFmtId="3" fontId="14" fillId="0" borderId="0" xfId="0" applyNumberFormat="1" applyFont="1" applyBorder="1"/>
    <xf numFmtId="3" fontId="0" fillId="0" borderId="0" xfId="0" applyNumberFormat="1" applyFill="1"/>
    <xf numFmtId="3" fontId="14" fillId="0" borderId="12" xfId="0" applyNumberFormat="1" applyFont="1" applyBorder="1"/>
    <xf numFmtId="3" fontId="14" fillId="0" borderId="6" xfId="0" applyNumberFormat="1" applyFont="1" applyBorder="1"/>
    <xf numFmtId="3" fontId="0" fillId="0" borderId="10" xfId="0" applyNumberFormat="1" applyBorder="1"/>
    <xf numFmtId="3" fontId="0" fillId="0" borderId="17" xfId="0" applyNumberFormat="1" applyBorder="1"/>
    <xf numFmtId="3" fontId="0" fillId="0" borderId="13" xfId="0" applyNumberFormat="1" applyBorder="1"/>
    <xf numFmtId="0" fontId="0" fillId="0" borderId="0" xfId="0" applyBorder="1" applyAlignment="1">
      <alignment vertical="center"/>
    </xf>
    <xf numFmtId="3" fontId="5" fillId="2" borderId="10" xfId="0" applyNumberFormat="1" applyFont="1" applyFill="1" applyBorder="1" applyAlignment="1">
      <alignment horizontal="right" vertical="center"/>
    </xf>
    <xf numFmtId="3" fontId="5" fillId="2" borderId="17" xfId="0" applyNumberFormat="1" applyFont="1" applyFill="1" applyBorder="1" applyAlignment="1">
      <alignment horizontal="right" vertical="center"/>
    </xf>
    <xf numFmtId="3" fontId="5" fillId="2" borderId="13" xfId="0" applyNumberFormat="1" applyFont="1" applyFill="1" applyBorder="1" applyAlignment="1">
      <alignment horizontal="right" vertical="center"/>
    </xf>
    <xf numFmtId="3" fontId="14" fillId="4" borderId="10" xfId="0" applyNumberFormat="1" applyFont="1" applyFill="1" applyBorder="1"/>
    <xf numFmtId="3" fontId="0" fillId="4" borderId="17" xfId="0" applyNumberFormat="1" applyFont="1" applyFill="1" applyBorder="1"/>
    <xf numFmtId="3" fontId="14" fillId="4" borderId="17" xfId="0" applyNumberFormat="1" applyFont="1" applyFill="1" applyBorder="1"/>
    <xf numFmtId="3" fontId="14" fillId="4" borderId="13" xfId="0" applyNumberFormat="1" applyFont="1" applyFill="1" applyBorder="1"/>
    <xf numFmtId="3" fontId="14" fillId="4" borderId="1" xfId="0" applyNumberFormat="1" applyFont="1" applyFill="1" applyBorder="1"/>
    <xf numFmtId="0" fontId="0" fillId="0" borderId="5" xfId="0" applyFill="1" applyBorder="1"/>
    <xf numFmtId="0" fontId="0" fillId="0" borderId="7" xfId="0" applyFill="1" applyBorder="1"/>
    <xf numFmtId="0" fontId="0" fillId="0" borderId="11" xfId="0" applyFill="1" applyBorder="1"/>
    <xf numFmtId="1" fontId="0" fillId="4" borderId="10" xfId="0" applyNumberFormat="1" applyFill="1" applyBorder="1"/>
    <xf numFmtId="1" fontId="0" fillId="4" borderId="17" xfId="0" applyNumberFormat="1" applyFill="1" applyBorder="1"/>
    <xf numFmtId="1" fontId="0" fillId="4" borderId="13" xfId="0" applyNumberFormat="1" applyFill="1" applyBorder="1"/>
    <xf numFmtId="0" fontId="0" fillId="4" borderId="1" xfId="0" applyFont="1" applyFill="1" applyBorder="1"/>
    <xf numFmtId="0" fontId="0" fillId="4" borderId="12" xfId="0" applyFont="1" applyFill="1" applyBorder="1"/>
    <xf numFmtId="0" fontId="0" fillId="0" borderId="5" xfId="0" applyFill="1" applyBorder="1" applyAlignment="1">
      <alignment vertical="center"/>
    </xf>
    <xf numFmtId="0" fontId="0" fillId="0" borderId="7" xfId="0" applyFill="1" applyBorder="1" applyAlignment="1">
      <alignment vertical="center"/>
    </xf>
    <xf numFmtId="0" fontId="0" fillId="0" borderId="11" xfId="0" applyFill="1" applyBorder="1" applyAlignment="1">
      <alignment vertical="center"/>
    </xf>
    <xf numFmtId="0" fontId="6" fillId="0" borderId="12" xfId="0" applyFont="1" applyBorder="1" applyAlignment="1">
      <alignment vertical="center"/>
    </xf>
    <xf numFmtId="0" fontId="5" fillId="0" borderId="6" xfId="0" applyFont="1" applyBorder="1" applyAlignment="1"/>
    <xf numFmtId="0" fontId="9" fillId="0" borderId="1" xfId="0" applyFont="1" applyFill="1" applyBorder="1" applyAlignment="1">
      <alignment vertical="center"/>
    </xf>
    <xf numFmtId="0" fontId="8" fillId="2" borderId="1" xfId="0" applyFont="1" applyFill="1" applyBorder="1" applyAlignment="1">
      <alignment vertical="center"/>
    </xf>
    <xf numFmtId="0" fontId="12" fillId="0" borderId="3" xfId="0" applyFont="1" applyFill="1" applyBorder="1"/>
    <xf numFmtId="0" fontId="0" fillId="0" borderId="6" xfId="0" applyFill="1" applyBorder="1"/>
    <xf numFmtId="0" fontId="0" fillId="0" borderId="9" xfId="0" applyFill="1" applyBorder="1"/>
    <xf numFmtId="0" fontId="4" fillId="0" borderId="1" xfId="0" applyFont="1" applyFill="1" applyBorder="1" applyAlignment="1"/>
    <xf numFmtId="0" fontId="8" fillId="0" borderId="1" xfId="0" applyFont="1" applyBorder="1" applyAlignment="1">
      <alignment vertical="center"/>
    </xf>
    <xf numFmtId="0" fontId="6" fillId="0" borderId="1" xfId="0" applyFont="1" applyBorder="1" applyAlignment="1">
      <alignment horizontal="left" vertical="center"/>
    </xf>
    <xf numFmtId="0" fontId="6" fillId="0" borderId="17" xfId="0" applyFont="1" applyBorder="1" applyAlignment="1">
      <alignment vertical="center"/>
    </xf>
    <xf numFmtId="0" fontId="7" fillId="0" borderId="17" xfId="1" applyBorder="1" applyAlignment="1">
      <alignment vertical="center"/>
    </xf>
    <xf numFmtId="0" fontId="6" fillId="2" borderId="17" xfId="0" applyFont="1" applyFill="1" applyBorder="1" applyAlignment="1">
      <alignment vertical="center"/>
    </xf>
    <xf numFmtId="0" fontId="0" fillId="0" borderId="12" xfId="0" applyFill="1" applyBorder="1"/>
    <xf numFmtId="0" fontId="4" fillId="0" borderId="12" xfId="0" applyFont="1" applyBorder="1"/>
    <xf numFmtId="0" fontId="6" fillId="0" borderId="9" xfId="0" applyFont="1" applyBorder="1" applyAlignment="1">
      <alignment vertical="center"/>
    </xf>
    <xf numFmtId="0" fontId="0" fillId="0" borderId="23" xfId="0" applyBorder="1"/>
    <xf numFmtId="0" fontId="0" fillId="0" borderId="9" xfId="0" applyFont="1" applyBorder="1" applyAlignment="1"/>
    <xf numFmtId="0" fontId="7" fillId="2" borderId="12" xfId="1" applyFill="1" applyBorder="1" applyAlignment="1">
      <alignment vertical="center"/>
    </xf>
    <xf numFmtId="0" fontId="0" fillId="0" borderId="12" xfId="0" applyFont="1" applyBorder="1" applyAlignment="1"/>
    <xf numFmtId="0" fontId="7" fillId="0" borderId="13" xfId="1" applyBorder="1" applyAlignment="1">
      <alignment vertical="center"/>
    </xf>
    <xf numFmtId="0" fontId="0" fillId="0" borderId="24" xfId="0" applyBorder="1"/>
    <xf numFmtId="0" fontId="0" fillId="0" borderId="25" xfId="0" applyBorder="1"/>
    <xf numFmtId="0" fontId="0" fillId="0" borderId="25" xfId="0" applyFill="1" applyBorder="1"/>
    <xf numFmtId="0" fontId="7" fillId="2" borderId="25" xfId="1" applyFill="1" applyBorder="1" applyAlignment="1">
      <alignment vertical="center"/>
    </xf>
    <xf numFmtId="0" fontId="6" fillId="0" borderId="25" xfId="0" applyFont="1" applyBorder="1" applyAlignment="1">
      <alignment vertical="center"/>
    </xf>
    <xf numFmtId="0" fontId="6" fillId="2" borderId="25" xfId="0" applyFont="1" applyFill="1" applyBorder="1" applyAlignment="1">
      <alignment vertical="center"/>
    </xf>
    <xf numFmtId="0" fontId="0" fillId="0" borderId="26" xfId="0" applyBorder="1"/>
    <xf numFmtId="0" fontId="0" fillId="0" borderId="12" xfId="0" applyFont="1" applyBorder="1"/>
    <xf numFmtId="3" fontId="0" fillId="0" borderId="12" xfId="0" applyNumberFormat="1" applyFont="1" applyBorder="1"/>
    <xf numFmtId="0" fontId="18" fillId="0" borderId="7" xfId="0" applyFont="1" applyBorder="1" applyAlignment="1">
      <alignment vertical="center"/>
    </xf>
    <xf numFmtId="0" fontId="18" fillId="0" borderId="1" xfId="0" applyFont="1" applyBorder="1" applyAlignment="1">
      <alignment vertical="center"/>
    </xf>
    <xf numFmtId="3" fontId="18" fillId="0" borderId="1" xfId="0" applyNumberFormat="1" applyFont="1" applyBorder="1" applyAlignment="1">
      <alignment horizontal="right" vertical="center"/>
    </xf>
    <xf numFmtId="0" fontId="18" fillId="2" borderId="1" xfId="0" applyFont="1" applyFill="1" applyBorder="1" applyAlignment="1">
      <alignment vertical="center"/>
    </xf>
    <xf numFmtId="0" fontId="11" fillId="0" borderId="1" xfId="0" applyFont="1" applyBorder="1" applyAlignment="1"/>
    <xf numFmtId="3" fontId="18" fillId="2" borderId="1" xfId="1" applyNumberFormat="1" applyFont="1" applyFill="1" applyBorder="1" applyAlignment="1">
      <alignment horizontal="right" vertical="center"/>
    </xf>
    <xf numFmtId="0" fontId="18" fillId="0" borderId="7" xfId="0" applyFont="1" applyFill="1" applyBorder="1" applyAlignment="1">
      <alignment vertical="center"/>
    </xf>
    <xf numFmtId="0" fontId="18" fillId="0" borderId="1" xfId="0" applyFont="1" applyFill="1" applyBorder="1" applyAlignment="1">
      <alignment vertical="center"/>
    </xf>
    <xf numFmtId="0" fontId="18" fillId="2" borderId="7" xfId="0" applyFont="1" applyFill="1" applyBorder="1" applyAlignment="1">
      <alignment vertical="center"/>
    </xf>
    <xf numFmtId="0" fontId="16" fillId="0" borderId="1" xfId="1" applyFont="1" applyBorder="1"/>
    <xf numFmtId="0" fontId="11" fillId="0" borderId="1" xfId="0" applyFont="1" applyFill="1" applyBorder="1" applyAlignment="1">
      <alignment vertical="center"/>
    </xf>
    <xf numFmtId="3" fontId="18" fillId="0" borderId="1" xfId="0" applyNumberFormat="1" applyFont="1" applyFill="1" applyBorder="1" applyAlignment="1">
      <alignment horizontal="right" vertical="center"/>
    </xf>
    <xf numFmtId="0" fontId="11" fillId="0" borderId="1" xfId="0" applyFont="1" applyFill="1" applyBorder="1" applyAlignment="1">
      <alignment horizontal="left"/>
    </xf>
    <xf numFmtId="49" fontId="16" fillId="0" borderId="1" xfId="1" applyNumberFormat="1" applyFont="1" applyFill="1" applyBorder="1" applyAlignment="1">
      <alignment horizontal="left" vertical="center"/>
    </xf>
    <xf numFmtId="0" fontId="18" fillId="0" borderId="11" xfId="0" applyFont="1" applyBorder="1" applyAlignment="1">
      <alignment vertical="center"/>
    </xf>
    <xf numFmtId="0" fontId="18" fillId="0" borderId="12" xfId="0" applyFont="1" applyBorder="1" applyAlignment="1">
      <alignment vertical="center"/>
    </xf>
    <xf numFmtId="0" fontId="0" fillId="0" borderId="0" xfId="0" applyFont="1" applyFill="1" applyBorder="1"/>
    <xf numFmtId="0" fontId="15" fillId="0" borderId="0" xfId="0" applyFont="1" applyBorder="1"/>
    <xf numFmtId="0" fontId="0" fillId="0" borderId="6" xfId="0" applyFont="1" applyBorder="1"/>
    <xf numFmtId="3" fontId="0" fillId="0" borderId="6" xfId="0" applyNumberFormat="1" applyFont="1" applyBorder="1"/>
    <xf numFmtId="3" fontId="0" fillId="0" borderId="1" xfId="0" applyNumberFormat="1" applyFill="1" applyBorder="1"/>
    <xf numFmtId="3" fontId="0" fillId="0" borderId="12" xfId="0" applyNumberFormat="1" applyFill="1" applyBorder="1"/>
    <xf numFmtId="0" fontId="15" fillId="0" borderId="6" xfId="0" applyFont="1" applyFill="1" applyBorder="1" applyAlignment="1">
      <alignment horizontal="left"/>
    </xf>
    <xf numFmtId="0" fontId="22" fillId="0" borderId="6" xfId="0" applyFont="1" applyFill="1" applyBorder="1" applyAlignment="1">
      <alignment horizontal="left" vertical="center"/>
    </xf>
    <xf numFmtId="9" fontId="0" fillId="0" borderId="1" xfId="0" applyNumberFormat="1" applyFont="1" applyBorder="1"/>
    <xf numFmtId="9" fontId="0" fillId="0" borderId="6" xfId="0" applyNumberFormat="1" applyFont="1" applyBorder="1"/>
    <xf numFmtId="9" fontId="0" fillId="0" borderId="12" xfId="0" applyNumberFormat="1" applyFont="1" applyBorder="1"/>
    <xf numFmtId="0" fontId="15" fillId="0" borderId="18" xfId="0" applyFont="1" applyBorder="1"/>
    <xf numFmtId="0" fontId="15" fillId="0" borderId="27" xfId="0" applyFont="1" applyBorder="1"/>
    <xf numFmtId="0" fontId="15" fillId="0" borderId="15" xfId="0" applyFont="1" applyBorder="1"/>
    <xf numFmtId="0" fontId="15" fillId="0" borderId="21" xfId="0" applyFont="1" applyBorder="1"/>
    <xf numFmtId="0" fontId="15" fillId="0" borderId="22" xfId="0" applyFont="1" applyBorder="1"/>
    <xf numFmtId="0" fontId="0" fillId="0" borderId="19" xfId="0" applyFont="1" applyBorder="1"/>
    <xf numFmtId="0" fontId="0" fillId="0" borderId="20" xfId="0" applyFont="1" applyBorder="1"/>
    <xf numFmtId="0" fontId="0" fillId="0" borderId="0" xfId="0" applyFont="1"/>
    <xf numFmtId="0" fontId="0" fillId="0" borderId="15" xfId="0" applyFont="1" applyBorder="1"/>
    <xf numFmtId="0" fontId="0" fillId="0" borderId="16" xfId="0" applyFont="1" applyBorder="1"/>
    <xf numFmtId="0" fontId="0" fillId="0" borderId="5" xfId="0" applyFont="1" applyBorder="1"/>
    <xf numFmtId="0" fontId="16" fillId="0" borderId="6" xfId="1" applyFont="1" applyBorder="1"/>
    <xf numFmtId="10" fontId="0" fillId="0" borderId="6" xfId="0" applyNumberFormat="1" applyFont="1" applyBorder="1"/>
    <xf numFmtId="164" fontId="0" fillId="0" borderId="10" xfId="0" applyNumberFormat="1" applyFont="1" applyBorder="1"/>
    <xf numFmtId="0" fontId="0" fillId="0" borderId="7" xfId="0" applyFont="1" applyBorder="1"/>
    <xf numFmtId="10" fontId="0" fillId="0" borderId="1" xfId="0" applyNumberFormat="1" applyFont="1" applyBorder="1"/>
    <xf numFmtId="164" fontId="0" fillId="0" borderId="17" xfId="0" applyNumberFormat="1" applyFont="1" applyBorder="1"/>
    <xf numFmtId="0" fontId="0" fillId="0" borderId="11" xfId="0" applyFont="1" applyBorder="1"/>
    <xf numFmtId="0" fontId="16" fillId="0" borderId="12" xfId="1" applyFont="1" applyBorder="1"/>
    <xf numFmtId="10" fontId="0" fillId="0" borderId="12" xfId="0" applyNumberFormat="1" applyFont="1" applyBorder="1"/>
    <xf numFmtId="164" fontId="0" fillId="0" borderId="13" xfId="0" applyNumberFormat="1" applyFont="1" applyBorder="1"/>
    <xf numFmtId="10" fontId="0" fillId="0" borderId="10" xfId="0" applyNumberFormat="1" applyFont="1" applyBorder="1"/>
    <xf numFmtId="10" fontId="0" fillId="0" borderId="17" xfId="0" applyNumberFormat="1" applyFont="1" applyBorder="1"/>
    <xf numFmtId="10" fontId="0" fillId="0" borderId="13" xfId="0" applyNumberFormat="1" applyFont="1" applyBorder="1"/>
    <xf numFmtId="0" fontId="15" fillId="0" borderId="1" xfId="0" applyFont="1" applyFill="1" applyBorder="1" applyAlignment="1">
      <alignment vertical="center"/>
    </xf>
    <xf numFmtId="0" fontId="15" fillId="5" borderId="1" xfId="0" applyFont="1" applyFill="1" applyBorder="1" applyAlignment="1">
      <alignment vertical="center"/>
    </xf>
    <xf numFmtId="0" fontId="0" fillId="5" borderId="1" xfId="0" applyFont="1" applyFill="1" applyBorder="1" applyAlignment="1">
      <alignment vertical="center"/>
    </xf>
    <xf numFmtId="3" fontId="0" fillId="0" borderId="0" xfId="0" applyNumberFormat="1" applyFont="1"/>
    <xf numFmtId="0" fontId="0" fillId="4" borderId="0" xfId="0" applyFont="1" applyFill="1" applyAlignment="1">
      <alignment vertical="top" wrapText="1"/>
    </xf>
    <xf numFmtId="0" fontId="0" fillId="0" borderId="0" xfId="0" applyFont="1" applyAlignment="1">
      <alignment vertical="top"/>
    </xf>
    <xf numFmtId="0" fontId="23" fillId="0" borderId="0" xfId="0" applyFont="1"/>
    <xf numFmtId="0" fontId="0" fillId="4" borderId="0" xfId="0" applyFont="1" applyFill="1" applyAlignment="1">
      <alignment vertical="top"/>
    </xf>
    <xf numFmtId="0" fontId="21" fillId="0" borderId="1" xfId="0" applyFont="1" applyBorder="1"/>
    <xf numFmtId="0" fontId="21" fillId="0" borderId="7" xfId="0" applyFont="1" applyBorder="1" applyAlignment="1">
      <alignment vertical="center"/>
    </xf>
    <xf numFmtId="0" fontId="11" fillId="0" borderId="7" xfId="0" applyFont="1" applyFill="1" applyBorder="1" applyAlignment="1"/>
    <xf numFmtId="0" fontId="11" fillId="3" borderId="1" xfId="0" applyFont="1" applyFill="1" applyBorder="1" applyAlignment="1"/>
    <xf numFmtId="0" fontId="21" fillId="0" borderId="1" xfId="0" applyFont="1" applyFill="1" applyBorder="1"/>
    <xf numFmtId="0" fontId="21" fillId="0" borderId="7" xfId="0" applyFont="1" applyFill="1" applyBorder="1" applyAlignment="1">
      <alignment vertical="center"/>
    </xf>
    <xf numFmtId="0" fontId="21" fillId="0" borderId="7" xfId="0" applyFont="1" applyBorder="1" applyAlignment="1"/>
    <xf numFmtId="0" fontId="21" fillId="0" borderId="1" xfId="0" applyFont="1" applyBorder="1" applyAlignment="1"/>
    <xf numFmtId="0" fontId="21" fillId="2" borderId="1" xfId="0" applyFont="1" applyFill="1" applyBorder="1" applyAlignment="1"/>
    <xf numFmtId="0" fontId="21" fillId="0" borderId="1" xfId="0" applyFont="1" applyFill="1" applyBorder="1" applyAlignment="1">
      <alignment vertical="center"/>
    </xf>
    <xf numFmtId="0" fontId="21" fillId="0" borderId="1" xfId="0" applyFont="1" applyFill="1" applyBorder="1" applyAlignment="1"/>
    <xf numFmtId="1" fontId="21" fillId="0" borderId="1" xfId="0" applyNumberFormat="1" applyFont="1" applyFill="1" applyBorder="1" applyAlignment="1"/>
    <xf numFmtId="0" fontId="21" fillId="0" borderId="1" xfId="0" applyFont="1" applyBorder="1" applyAlignment="1">
      <alignment vertical="center"/>
    </xf>
    <xf numFmtId="0" fontId="21" fillId="0" borderId="7" xfId="0" applyFont="1" applyFill="1" applyBorder="1" applyAlignment="1"/>
    <xf numFmtId="1" fontId="21" fillId="0" borderId="7" xfId="0" applyNumberFormat="1" applyFont="1" applyFill="1" applyBorder="1" applyAlignment="1"/>
    <xf numFmtId="0" fontId="21" fillId="0" borderId="12" xfId="0" applyFont="1" applyBorder="1"/>
    <xf numFmtId="3" fontId="21" fillId="0" borderId="1" xfId="0" applyNumberFormat="1" applyFont="1" applyFill="1" applyBorder="1"/>
    <xf numFmtId="9" fontId="21" fillId="0" borderId="1" xfId="0" applyNumberFormat="1" applyFont="1" applyFill="1" applyBorder="1"/>
    <xf numFmtId="0" fontId="7" fillId="0" borderId="1" xfId="1" applyFill="1" applyBorder="1" applyAlignment="1"/>
    <xf numFmtId="0" fontId="0" fillId="0" borderId="1" xfId="0" applyFont="1" applyFill="1" applyBorder="1"/>
    <xf numFmtId="3" fontId="18" fillId="0" borderId="30" xfId="0" applyNumberFormat="1" applyFont="1" applyFill="1" applyBorder="1" applyAlignment="1">
      <alignment horizontal="right" vertical="center"/>
    </xf>
    <xf numFmtId="3" fontId="18" fillId="0" borderId="30" xfId="1" applyNumberFormat="1" applyFont="1" applyFill="1" applyBorder="1" applyAlignment="1">
      <alignment horizontal="right" vertical="center"/>
    </xf>
    <xf numFmtId="3" fontId="18" fillId="0" borderId="30" xfId="0" applyNumberFormat="1" applyFont="1" applyFill="1" applyBorder="1" applyAlignment="1">
      <alignment horizontal="right"/>
    </xf>
    <xf numFmtId="3" fontId="0" fillId="0" borderId="1" xfId="0" applyNumberFormat="1" applyFont="1" applyFill="1" applyBorder="1"/>
    <xf numFmtId="0" fontId="0" fillId="0" borderId="1" xfId="0" applyFont="1" applyFill="1" applyBorder="1" applyAlignment="1">
      <alignment vertical="center"/>
    </xf>
    <xf numFmtId="1" fontId="0" fillId="0" borderId="1" xfId="0" applyNumberFormat="1" applyFill="1" applyBorder="1"/>
    <xf numFmtId="0" fontId="18" fillId="0" borderId="24" xfId="0" applyFont="1" applyBorder="1" applyAlignment="1">
      <alignment vertical="center"/>
    </xf>
    <xf numFmtId="0" fontId="18" fillId="0" borderId="25" xfId="0" applyFont="1" applyBorder="1" applyAlignment="1">
      <alignment vertical="center"/>
    </xf>
    <xf numFmtId="0" fontId="16" fillId="0" borderId="25" xfId="1" applyFont="1" applyFill="1" applyBorder="1" applyAlignment="1">
      <alignment vertical="center"/>
    </xf>
    <xf numFmtId="0" fontId="21" fillId="0" borderId="25" xfId="0" applyFont="1" applyBorder="1"/>
    <xf numFmtId="9" fontId="21" fillId="0" borderId="25" xfId="0" applyNumberFormat="1" applyFont="1" applyFill="1" applyBorder="1"/>
    <xf numFmtId="3" fontId="21" fillId="0" borderId="25" xfId="0" applyNumberFormat="1" applyFont="1" applyFill="1" applyBorder="1"/>
    <xf numFmtId="0" fontId="1" fillId="10" borderId="19" xfId="0" applyFont="1" applyFill="1" applyBorder="1" applyAlignment="1"/>
    <xf numFmtId="0" fontId="2" fillId="10" borderId="19" xfId="0" applyFont="1" applyFill="1" applyBorder="1" applyAlignment="1"/>
    <xf numFmtId="0" fontId="4" fillId="10" borderId="19" xfId="0" applyFont="1" applyFill="1" applyBorder="1" applyAlignment="1"/>
    <xf numFmtId="0" fontId="4" fillId="10" borderId="20" xfId="0" applyFont="1" applyFill="1" applyBorder="1" applyAlignment="1"/>
    <xf numFmtId="0" fontId="3" fillId="11" borderId="27" xfId="0" applyFont="1" applyFill="1" applyBorder="1" applyAlignment="1">
      <alignment vertical="center"/>
    </xf>
    <xf numFmtId="0" fontId="3" fillId="11" borderId="15" xfId="0" applyFont="1" applyFill="1" applyBorder="1" applyAlignment="1">
      <alignment vertical="center"/>
    </xf>
    <xf numFmtId="0" fontId="20" fillId="10" borderId="15" xfId="0" applyFont="1" applyFill="1" applyBorder="1"/>
    <xf numFmtId="0" fontId="3" fillId="11" borderId="16" xfId="0" applyFont="1" applyFill="1" applyBorder="1" applyAlignment="1">
      <alignment vertical="center"/>
    </xf>
    <xf numFmtId="0" fontId="17" fillId="0" borderId="12" xfId="0" applyFont="1" applyFill="1" applyBorder="1" applyAlignment="1">
      <alignment vertical="center"/>
    </xf>
    <xf numFmtId="0" fontId="21" fillId="0" borderId="25" xfId="0" applyFont="1" applyFill="1" applyBorder="1"/>
    <xf numFmtId="0" fontId="0" fillId="0" borderId="0" xfId="0" applyFont="1" applyBorder="1"/>
    <xf numFmtId="3" fontId="21" fillId="0" borderId="32" xfId="0" applyNumberFormat="1" applyFont="1" applyFill="1" applyBorder="1"/>
    <xf numFmtId="3" fontId="18" fillId="0" borderId="33" xfId="0" applyNumberFormat="1" applyFont="1" applyFill="1" applyBorder="1" applyAlignment="1">
      <alignment horizontal="right" vertical="center"/>
    </xf>
    <xf numFmtId="3" fontId="18" fillId="0" borderId="25" xfId="1" applyNumberFormat="1" applyFont="1" applyFill="1" applyBorder="1" applyAlignment="1">
      <alignment horizontal="right" vertical="center"/>
    </xf>
    <xf numFmtId="3" fontId="18" fillId="0" borderId="25" xfId="0" applyNumberFormat="1" applyFont="1" applyFill="1" applyBorder="1" applyAlignment="1">
      <alignment horizontal="right" vertical="center"/>
    </xf>
    <xf numFmtId="0" fontId="18" fillId="0" borderId="25" xfId="0" applyFont="1" applyFill="1" applyBorder="1" applyAlignment="1">
      <alignment vertical="center"/>
    </xf>
    <xf numFmtId="3" fontId="21" fillId="0" borderId="28" xfId="0" applyNumberFormat="1" applyFont="1" applyFill="1" applyBorder="1"/>
    <xf numFmtId="3" fontId="18" fillId="0" borderId="1" xfId="1" applyNumberFormat="1" applyFont="1" applyFill="1" applyBorder="1" applyAlignment="1">
      <alignment horizontal="right" vertical="center"/>
    </xf>
    <xf numFmtId="3" fontId="18" fillId="0" borderId="30" xfId="1" applyNumberFormat="1" applyFont="1" applyFill="1" applyBorder="1" applyAlignment="1">
      <alignment horizontal="right"/>
    </xf>
    <xf numFmtId="3" fontId="21" fillId="0" borderId="1" xfId="0" applyNumberFormat="1" applyFont="1" applyFill="1" applyBorder="1" applyAlignment="1">
      <alignment horizontal="right"/>
    </xf>
    <xf numFmtId="3" fontId="21" fillId="0" borderId="28" xfId="0" applyNumberFormat="1" applyFont="1" applyFill="1" applyBorder="1" applyAlignment="1">
      <alignment horizontal="right"/>
    </xf>
    <xf numFmtId="3" fontId="21" fillId="0" borderId="30" xfId="0" applyNumberFormat="1" applyFont="1" applyFill="1" applyBorder="1"/>
    <xf numFmtId="0" fontId="21" fillId="0" borderId="28" xfId="0" applyFont="1" applyFill="1" applyBorder="1"/>
    <xf numFmtId="3" fontId="21" fillId="0" borderId="12" xfId="0" applyNumberFormat="1" applyFont="1" applyFill="1" applyBorder="1"/>
    <xf numFmtId="3" fontId="21" fillId="0" borderId="29" xfId="0" applyNumberFormat="1" applyFont="1" applyFill="1" applyBorder="1"/>
    <xf numFmtId="3" fontId="18" fillId="0" borderId="31" xfId="0" applyNumberFormat="1" applyFont="1" applyFill="1" applyBorder="1" applyAlignment="1">
      <alignment horizontal="right" vertical="center"/>
    </xf>
    <xf numFmtId="3" fontId="18" fillId="0" borderId="12" xfId="1" applyNumberFormat="1" applyFont="1" applyFill="1" applyBorder="1" applyAlignment="1">
      <alignment horizontal="right" vertical="center"/>
    </xf>
    <xf numFmtId="3" fontId="18" fillId="0" borderId="12" xfId="0" applyNumberFormat="1" applyFont="1" applyFill="1" applyBorder="1" applyAlignment="1">
      <alignment horizontal="right" vertical="center"/>
    </xf>
    <xf numFmtId="0" fontId="11" fillId="0" borderId="12" xfId="0" applyFont="1" applyFill="1" applyBorder="1" applyAlignment="1">
      <alignment vertical="center"/>
    </xf>
    <xf numFmtId="0" fontId="1" fillId="10" borderId="18" xfId="0" applyFont="1" applyFill="1" applyBorder="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youtube.com/canalmaectv" TargetMode="External"/><Relationship Id="rId299" Type="http://schemas.openxmlformats.org/officeDocument/2006/relationships/hyperlink" Target="https://youtube.com/khameneinews" TargetMode="External"/><Relationship Id="rId303" Type="http://schemas.openxmlformats.org/officeDocument/2006/relationships/hyperlink" Target="https://youtube.com/pgmcvideos" TargetMode="External"/><Relationship Id="rId21" Type="http://schemas.openxmlformats.org/officeDocument/2006/relationships/hyperlink" Target="https://www.youtube.com/gmicafghanistan" TargetMode="External"/><Relationship Id="rId42" Type="http://schemas.openxmlformats.org/officeDocument/2006/relationships/hyperlink" Target="https://www.youtube.com/foreignministry" TargetMode="External"/><Relationship Id="rId63" Type="http://schemas.openxmlformats.org/officeDocument/2006/relationships/hyperlink" Target="https://youtube.com/diplomatiebelgium" TargetMode="External"/><Relationship Id="rId84" Type="http://schemas.openxmlformats.org/officeDocument/2006/relationships/hyperlink" Target="https://www.youtube.com/merrionstreet" TargetMode="External"/><Relationship Id="rId138" Type="http://schemas.openxmlformats.org/officeDocument/2006/relationships/hyperlink" Target="https://www.youtube.com/cubaminrex" TargetMode="External"/><Relationship Id="rId159" Type="http://schemas.openxmlformats.org/officeDocument/2006/relationships/hyperlink" Target="https://www.youtube.com/CancilleriaCol" TargetMode="External"/><Relationship Id="rId170" Type="http://schemas.openxmlformats.org/officeDocument/2006/relationships/hyperlink" Target="https://www.youtube.com/yayiboni2011" TargetMode="External"/><Relationship Id="rId191" Type="http://schemas.openxmlformats.org/officeDocument/2006/relationships/hyperlink" Target="https://youtube.com/JDMahama" TargetMode="External"/><Relationship Id="rId205" Type="http://schemas.openxmlformats.org/officeDocument/2006/relationships/hyperlink" Target="https://youtube.com/ortcomkz" TargetMode="External"/><Relationship Id="rId226" Type="http://schemas.openxmlformats.org/officeDocument/2006/relationships/hyperlink" Target="https://youtube.com/PaoloGentiloni" TargetMode="External"/><Relationship Id="rId247" Type="http://schemas.openxmlformats.org/officeDocument/2006/relationships/hyperlink" Target="https://www.youtube.com/gobpressoffice" TargetMode="External"/><Relationship Id="rId107" Type="http://schemas.openxmlformats.org/officeDocument/2006/relationships/hyperlink" Target="https://www.youtube.com/KancelariaPremiera" TargetMode="External"/><Relationship Id="rId268" Type="http://schemas.openxmlformats.org/officeDocument/2006/relationships/hyperlink" Target="https://youtube.com/bbyegm" TargetMode="External"/><Relationship Id="rId289" Type="http://schemas.openxmlformats.org/officeDocument/2006/relationships/hyperlink" Target="https://youtube.com/channel/UCnJsO1UYtrzuWSV-HLGF79g" TargetMode="External"/><Relationship Id="rId11" Type="http://schemas.openxmlformats.org/officeDocument/2006/relationships/hyperlink" Target="https://www.youtube.com/presidencesenegal" TargetMode="External"/><Relationship Id="rId32" Type="http://schemas.openxmlformats.org/officeDocument/2006/relationships/hyperlink" Target="https://www.youtube.com/pmoiraqichannel" TargetMode="External"/><Relationship Id="rId53" Type="http://schemas.openxmlformats.org/officeDocument/2006/relationships/hyperlink" Target="https://www.youtube.com/cheongwadaetv" TargetMode="External"/><Relationship Id="rId74" Type="http://schemas.openxmlformats.org/officeDocument/2006/relationships/hyperlink" Target="https://www.youtube.com/mnrmakedonija" TargetMode="External"/><Relationship Id="rId128" Type="http://schemas.openxmlformats.org/officeDocument/2006/relationships/hyperlink" Target="https://www.youtube.com/vaticanit" TargetMode="External"/><Relationship Id="rId149" Type="http://schemas.openxmlformats.org/officeDocument/2006/relationships/hyperlink" Target="https://www.youtube.com/statevideo" TargetMode="External"/><Relationship Id="rId314" Type="http://schemas.openxmlformats.org/officeDocument/2006/relationships/hyperlink" Target="https://youtube.com/channel/UCaLuCaujxbaKJLzQ2lJ-whQ" TargetMode="External"/><Relationship Id="rId5" Type="http://schemas.openxmlformats.org/officeDocument/2006/relationships/hyperlink" Target="https://www.youtube.com/UhuruKenyattaTV" TargetMode="External"/><Relationship Id="rId95" Type="http://schemas.openxmlformats.org/officeDocument/2006/relationships/hyperlink" Target="https://www.youtube.com/MFAofLITHUANIA" TargetMode="External"/><Relationship Id="rId160" Type="http://schemas.openxmlformats.org/officeDocument/2006/relationships/hyperlink" Target="https://www.youtube.com/presidenciaec" TargetMode="External"/><Relationship Id="rId181" Type="http://schemas.openxmlformats.org/officeDocument/2006/relationships/hyperlink" Target="https://youtube.com/MAECHaiti" TargetMode="External"/><Relationship Id="rId216" Type="http://schemas.openxmlformats.org/officeDocument/2006/relationships/hyperlink" Target="https://youtube.com/ksamofa" TargetMode="External"/><Relationship Id="rId237" Type="http://schemas.openxmlformats.org/officeDocument/2006/relationships/hyperlink" Target="https://youtube.com/USAdarFarsi" TargetMode="External"/><Relationship Id="rId258" Type="http://schemas.openxmlformats.org/officeDocument/2006/relationships/hyperlink" Target="https://www.youtube.com/salvadorpresidente" TargetMode="External"/><Relationship Id="rId279" Type="http://schemas.openxmlformats.org/officeDocument/2006/relationships/hyperlink" Target="https://youtube.com/DeguoDiplo" TargetMode="External"/><Relationship Id="rId22" Type="http://schemas.openxmlformats.org/officeDocument/2006/relationships/hyperlink" Target="https://www.youtube.com/presidentpress" TargetMode="External"/><Relationship Id="rId43" Type="http://schemas.openxmlformats.org/officeDocument/2006/relationships/hyperlink" Target="https://www.youtube.com/presidentkg" TargetMode="External"/><Relationship Id="rId64" Type="http://schemas.openxmlformats.org/officeDocument/2006/relationships/hyperlink" Target="https://www.youtube.com/channel/UCky1dYxODbzZmrnmvsY415A" TargetMode="External"/><Relationship Id="rId118" Type="http://schemas.openxmlformats.org/officeDocument/2006/relationships/hyperlink" Target="https://www.youtube.com/kungahuset" TargetMode="External"/><Relationship Id="rId139" Type="http://schemas.openxmlformats.org/officeDocument/2006/relationships/hyperlink" Target="https://www.youtube.com/PresidenciaRDom" TargetMode="External"/><Relationship Id="rId290" Type="http://schemas.openxmlformats.org/officeDocument/2006/relationships/hyperlink" Target="https://youtube.com/channel/UC5nqdZGaSTn6UNi-LDfdTLA" TargetMode="External"/><Relationship Id="rId304" Type="http://schemas.openxmlformats.org/officeDocument/2006/relationships/hyperlink" Target="https://youtube.com/gisdominica" TargetMode="External"/><Relationship Id="rId85" Type="http://schemas.openxmlformats.org/officeDocument/2006/relationships/hyperlink" Target="https://www.youtube.com/presidenzarepubblica" TargetMode="External"/><Relationship Id="rId150" Type="http://schemas.openxmlformats.org/officeDocument/2006/relationships/hyperlink" Target="https://www.youtube.com/dfat" TargetMode="External"/><Relationship Id="rId171" Type="http://schemas.openxmlformats.org/officeDocument/2006/relationships/hyperlink" Target="https://youtube.com/AlsisiOfficial" TargetMode="External"/><Relationship Id="rId192" Type="http://schemas.openxmlformats.org/officeDocument/2006/relationships/hyperlink" Target="https://youtube.com/jokowi" TargetMode="External"/><Relationship Id="rId206" Type="http://schemas.openxmlformats.org/officeDocument/2006/relationships/hyperlink" Target="https://youtube.com/ortcomkzE" TargetMode="External"/><Relationship Id="rId227" Type="http://schemas.openxmlformats.org/officeDocument/2006/relationships/hyperlink" Target="https://youtube.com/BeataSzydlo" TargetMode="External"/><Relationship Id="rId248" Type="http://schemas.openxmlformats.org/officeDocument/2006/relationships/hyperlink" Target="https://www.youtube.com/hashimthaciofficial" TargetMode="External"/><Relationship Id="rId269" Type="http://schemas.openxmlformats.org/officeDocument/2006/relationships/hyperlink" Target="https://youtube.com/BorissovBoyko" TargetMode="External"/><Relationship Id="rId12" Type="http://schemas.openxmlformats.org/officeDocument/2006/relationships/hyperlink" Target="https://www.youtube.com/channel/UCyzZBEcM7_knHfLt2YE2dhg" TargetMode="External"/><Relationship Id="rId33" Type="http://schemas.openxmlformats.org/officeDocument/2006/relationships/hyperlink" Target="https://www.youtube.com/aljaffaary" TargetMode="External"/><Relationship Id="rId108" Type="http://schemas.openxmlformats.org/officeDocument/2006/relationships/hyperlink" Target="https://www.youtube.com/PolandMFA" TargetMode="External"/><Relationship Id="rId129" Type="http://schemas.openxmlformats.org/officeDocument/2006/relationships/hyperlink" Target="https://www.youtube.com/vaticanes" TargetMode="External"/><Relationship Id="rId280" Type="http://schemas.openxmlformats.org/officeDocument/2006/relationships/hyperlink" Target="https://youtube.com/AlmaniaDiplo" TargetMode="External"/><Relationship Id="rId315" Type="http://schemas.openxmlformats.org/officeDocument/2006/relationships/hyperlink" Target="https://youtube.com/user/palaciodoplanalto" TargetMode="External"/><Relationship Id="rId54" Type="http://schemas.openxmlformats.org/officeDocument/2006/relationships/hyperlink" Target="https://www.youtube.com/primeministerkr" TargetMode="External"/><Relationship Id="rId75" Type="http://schemas.openxmlformats.org/officeDocument/2006/relationships/hyperlink" Target="https://youtube.com/ForminFinland" TargetMode="External"/><Relationship Id="rId96" Type="http://schemas.openxmlformats.org/officeDocument/2006/relationships/hyperlink" Target="https://www.youtube.com/JosephMUSCATdotcom" TargetMode="External"/><Relationship Id="rId140" Type="http://schemas.openxmlformats.org/officeDocument/2006/relationships/hyperlink" Target="https://www.youtube.com/CasaPresidencialSV" TargetMode="External"/><Relationship Id="rId161" Type="http://schemas.openxmlformats.org/officeDocument/2006/relationships/hyperlink" Target="https://www.youtube.com/RicardoPatinoA" TargetMode="External"/><Relationship Id="rId182" Type="http://schemas.openxmlformats.org/officeDocument/2006/relationships/hyperlink" Target="https://youtube.com/DOImalta" TargetMode="External"/><Relationship Id="rId217" Type="http://schemas.openxmlformats.org/officeDocument/2006/relationships/hyperlink" Target="https://youtube.com/presstj" TargetMode="External"/><Relationship Id="rId6" Type="http://schemas.openxmlformats.org/officeDocument/2006/relationships/hyperlink" Target="https://www.youtube.com/chefdugouvernement" TargetMode="External"/><Relationship Id="rId238" Type="http://schemas.openxmlformats.org/officeDocument/2006/relationships/hyperlink" Target="https://youtube.com/mauriciomacri" TargetMode="External"/><Relationship Id="rId259" Type="http://schemas.openxmlformats.org/officeDocument/2006/relationships/hyperlink" Target="https://www.youtube.com/syrianpresidency" TargetMode="External"/><Relationship Id="rId23" Type="http://schemas.openxmlformats.org/officeDocument/2006/relationships/hyperlink" Target="https://www.youtube.com/egovernmentam" TargetMode="External"/><Relationship Id="rId119" Type="http://schemas.openxmlformats.org/officeDocument/2006/relationships/hyperlink" Target="https://www.youtube.com/Utrikesdepartementet" TargetMode="External"/><Relationship Id="rId270" Type="http://schemas.openxmlformats.org/officeDocument/2006/relationships/hyperlink" Target="https://youtube.com/channel/UC40sKLFAX_YQzGrF13QpipQ" TargetMode="External"/><Relationship Id="rId291" Type="http://schemas.openxmlformats.org/officeDocument/2006/relationships/hyperlink" Target="https://youtube.com/Utanrikisraduneyti" TargetMode="External"/><Relationship Id="rId305" Type="http://schemas.openxmlformats.org/officeDocument/2006/relationships/hyperlink" Target="https://www.youtube.com/channel/UCSioGcVnP1zPzR3Ko-T1w1Q" TargetMode="External"/><Relationship Id="rId44" Type="http://schemas.openxmlformats.org/officeDocument/2006/relationships/hyperlink" Target="https://www.youtube.com/PejabatPM" TargetMode="External"/><Relationship Id="rId65" Type="http://schemas.openxmlformats.org/officeDocument/2006/relationships/hyperlink" Target="https://www.youtube.com/wwwvladahr" TargetMode="External"/><Relationship Id="rId86" Type="http://schemas.openxmlformats.org/officeDocument/2006/relationships/hyperlink" Target="https://www.youtube.com/palazzochigi" TargetMode="External"/><Relationship Id="rId130" Type="http://schemas.openxmlformats.org/officeDocument/2006/relationships/hyperlink" Target="https://www.youtube.com/vaticanlt" TargetMode="External"/><Relationship Id="rId151" Type="http://schemas.openxmlformats.org/officeDocument/2006/relationships/hyperlink" Target="https://www.youtube.com/minfofiji" TargetMode="External"/><Relationship Id="rId172" Type="http://schemas.openxmlformats.org/officeDocument/2006/relationships/hyperlink" Target="https://youtube.com/Ahmet_Davutoglu" TargetMode="External"/><Relationship Id="rId193" Type="http://schemas.openxmlformats.org/officeDocument/2006/relationships/hyperlink" Target="https://youtube.com/KhaledBahah" TargetMode="External"/><Relationship Id="rId207" Type="http://schemas.openxmlformats.org/officeDocument/2006/relationships/hyperlink" Target="https://youtube.com/Kmassimov" TargetMode="External"/><Relationship Id="rId228" Type="http://schemas.openxmlformats.org/officeDocument/2006/relationships/hyperlink" Target="https://youtube.com/vucicaleksandar" TargetMode="External"/><Relationship Id="rId249" Type="http://schemas.openxmlformats.org/officeDocument/2006/relationships/hyperlink" Target="https://youtube.com/jimmymoralesgt" TargetMode="External"/><Relationship Id="rId13" Type="http://schemas.openxmlformats.org/officeDocument/2006/relationships/hyperlink" Target="https://www.youtube.com/channel/UCjxjky1VIZISVAgUxH302kw" TargetMode="External"/><Relationship Id="rId109" Type="http://schemas.openxmlformats.org/officeDocument/2006/relationships/hyperlink" Target="https://www.youtube.com/PresidenciaRepublica" TargetMode="External"/><Relationship Id="rId260" Type="http://schemas.openxmlformats.org/officeDocument/2006/relationships/hyperlink" Target="https://www.youtube.com/tccumhurbaskanligi" TargetMode="External"/><Relationship Id="rId281" Type="http://schemas.openxmlformats.org/officeDocument/2006/relationships/hyperlink" Target="https://youtube.com/user/TheSKNIS" TargetMode="External"/><Relationship Id="rId316" Type="http://schemas.openxmlformats.org/officeDocument/2006/relationships/printerSettings" Target="../printerSettings/printerSettings1.bin"/><Relationship Id="rId34" Type="http://schemas.openxmlformats.org/officeDocument/2006/relationships/hyperlink" Target="https://www.youtube.com/israelipm" TargetMode="External"/><Relationship Id="rId55" Type="http://schemas.openxmlformats.org/officeDocument/2006/relationships/hyperlink" Target="https://www.youtube.com/SLMFA" TargetMode="External"/><Relationship Id="rId76" Type="http://schemas.openxmlformats.org/officeDocument/2006/relationships/hyperlink" Target="https://www.youtube.com/ELYSEE" TargetMode="External"/><Relationship Id="rId97" Type="http://schemas.openxmlformats.org/officeDocument/2006/relationships/hyperlink" Target="https://www.youtube.com/channel/UCIXYOBuejyv3il1g8Gd0tHw" TargetMode="External"/><Relationship Id="rId120" Type="http://schemas.openxmlformats.org/officeDocument/2006/relationships/hyperlink" Target="https://www.youtube.com/TCDisisleri" TargetMode="External"/><Relationship Id="rId141" Type="http://schemas.openxmlformats.org/officeDocument/2006/relationships/hyperlink" Target="https://www.youtube.com/cancilleria1" TargetMode="External"/><Relationship Id="rId7" Type="http://schemas.openxmlformats.org/officeDocument/2006/relationships/hyperlink" Target="https://www.youtube.com/presidenceniger" TargetMode="External"/><Relationship Id="rId162" Type="http://schemas.openxmlformats.org/officeDocument/2006/relationships/hyperlink" Target="https://www.youtube.com/CancilleriaEcuador" TargetMode="External"/><Relationship Id="rId183" Type="http://schemas.openxmlformats.org/officeDocument/2006/relationships/hyperlink" Target="https://youtube.com/mfaethiopia" TargetMode="External"/><Relationship Id="rId218" Type="http://schemas.openxmlformats.org/officeDocument/2006/relationships/hyperlink" Target="https://youtube.com/ThaiKhuFah" TargetMode="External"/><Relationship Id="rId239" Type="http://schemas.openxmlformats.org/officeDocument/2006/relationships/hyperlink" Target="https://youtube.com/mincombolivia" TargetMode="External"/><Relationship Id="rId250" Type="http://schemas.openxmlformats.org/officeDocument/2006/relationships/hyperlink" Target="https://www.youtube.com/kamudiplomasisi" TargetMode="External"/><Relationship Id="rId271" Type="http://schemas.openxmlformats.org/officeDocument/2006/relationships/hyperlink" Target="https://youtube.com/channel/UC6vgMvDM3qofAG5oJggj89A" TargetMode="External"/><Relationship Id="rId292" Type="http://schemas.openxmlformats.org/officeDocument/2006/relationships/hyperlink" Target="https://youtube.com/channel/UC7Y112WEB_NY975PZ-fdj0g" TargetMode="External"/><Relationship Id="rId306" Type="http://schemas.openxmlformats.org/officeDocument/2006/relationships/hyperlink" Target="https://youtube.com/DaniloMedinaPLD" TargetMode="External"/><Relationship Id="rId24" Type="http://schemas.openxmlformats.org/officeDocument/2006/relationships/hyperlink" Target="https://www.youtube.com/presidentaz" TargetMode="External"/><Relationship Id="rId45" Type="http://schemas.openxmlformats.org/officeDocument/2006/relationships/hyperlink" Target="https://www.youtube.com/NajibRazak" TargetMode="External"/><Relationship Id="rId66" Type="http://schemas.openxmlformats.org/officeDocument/2006/relationships/hyperlink" Target="https://www.youtube.com/mveprh" TargetMode="External"/><Relationship Id="rId87" Type="http://schemas.openxmlformats.org/officeDocument/2006/relationships/hyperlink" Target="https://www.youtube.com/MinisteroEsteri" TargetMode="External"/><Relationship Id="rId110" Type="http://schemas.openxmlformats.org/officeDocument/2006/relationships/hyperlink" Target="https://www.youtube.com/guvernulromaniei" TargetMode="External"/><Relationship Id="rId131" Type="http://schemas.openxmlformats.org/officeDocument/2006/relationships/hyperlink" Target="https://www.youtube.com/vaticanfr" TargetMode="External"/><Relationship Id="rId61" Type="http://schemas.openxmlformats.org/officeDocument/2006/relationships/hyperlink" Target="https://www.youtube.com/Minoritenplatz8" TargetMode="External"/><Relationship Id="rId82" Type="http://schemas.openxmlformats.org/officeDocument/2006/relationships/hyperlink" Target="https://www.youtube.com/GreeceMFA" TargetMode="External"/><Relationship Id="rId152" Type="http://schemas.openxmlformats.org/officeDocument/2006/relationships/hyperlink" Target="https://www.youtube.com/foreignaffairsfiji" TargetMode="External"/><Relationship Id="rId173" Type="http://schemas.openxmlformats.org/officeDocument/2006/relationships/hyperlink" Target="https://youtube.com/prcavacosilva" TargetMode="External"/><Relationship Id="rId194" Type="http://schemas.openxmlformats.org/officeDocument/2006/relationships/hyperlink" Target="https://youtube.com/KlausIohannis" TargetMode="External"/><Relationship Id="rId199" Type="http://schemas.openxmlformats.org/officeDocument/2006/relationships/hyperlink" Target="https://youtube.com/republicoftogo" TargetMode="External"/><Relationship Id="rId203" Type="http://schemas.openxmlformats.org/officeDocument/2006/relationships/hyperlink" Target="https://youtube.com/narendramodi" TargetMode="External"/><Relationship Id="rId208" Type="http://schemas.openxmlformats.org/officeDocument/2006/relationships/hyperlink" Target="https://youtube.com/MOFAKuwait" TargetMode="External"/><Relationship Id="rId229" Type="http://schemas.openxmlformats.org/officeDocument/2006/relationships/hyperlink" Target="https://youtube.com/fico2014" TargetMode="External"/><Relationship Id="rId19" Type="http://schemas.openxmlformats.org/officeDocument/2006/relationships/hyperlink" Target="https://www.youtube.com/ARG1880" TargetMode="External"/><Relationship Id="rId224" Type="http://schemas.openxmlformats.org/officeDocument/2006/relationships/hyperlink" Target="https://youtube.com/manuelvalls" TargetMode="External"/><Relationship Id="rId240" Type="http://schemas.openxmlformats.org/officeDocument/2006/relationships/hyperlink" Target="https://youtube.com/MashiRafael" TargetMode="External"/><Relationship Id="rId245" Type="http://schemas.openxmlformats.org/officeDocument/2006/relationships/hyperlink" Target="https://www.youtube.com/dilmarousseff" TargetMode="External"/><Relationship Id="rId261" Type="http://schemas.openxmlformats.org/officeDocument/2006/relationships/hyperlink" Target="https://www.youtube.com/pmosingapore" TargetMode="External"/><Relationship Id="rId266" Type="http://schemas.openxmlformats.org/officeDocument/2006/relationships/hyperlink" Target="https://youtube.com/JohnDramaniMahama" TargetMode="External"/><Relationship Id="rId287" Type="http://schemas.openxmlformats.org/officeDocument/2006/relationships/hyperlink" Target="https://youtube.com/channel/UCt6Fq64J2rTswe4uhZtxNtg" TargetMode="External"/><Relationship Id="rId14" Type="http://schemas.openxmlformats.org/officeDocument/2006/relationships/hyperlink" Target="https://www.youtube.com/PresidencyZA" TargetMode="External"/><Relationship Id="rId30" Type="http://schemas.openxmlformats.org/officeDocument/2006/relationships/hyperlink" Target="https://www.youtube.com/Indiandiplomacy" TargetMode="External"/><Relationship Id="rId35" Type="http://schemas.openxmlformats.org/officeDocument/2006/relationships/hyperlink" Target="https://www.youtube.com/IsraelMFA" TargetMode="External"/><Relationship Id="rId56" Type="http://schemas.openxmlformats.org/officeDocument/2006/relationships/hyperlink" Target="https://www.youtube.com/HHSMohammedBinRashid" TargetMode="External"/><Relationship Id="rId77" Type="http://schemas.openxmlformats.org/officeDocument/2006/relationships/hyperlink" Target="https://www.youtube.com/francediplotv" TargetMode="External"/><Relationship Id="rId100" Type="http://schemas.openxmlformats.org/officeDocument/2006/relationships/hyperlink" Target="https://www.youtube.com/koninklijkhuis" TargetMode="External"/><Relationship Id="rId105" Type="http://schemas.openxmlformats.org/officeDocument/2006/relationships/hyperlink" Target="https://www.youtube.com/kongehuset" TargetMode="External"/><Relationship Id="rId126" Type="http://schemas.openxmlformats.org/officeDocument/2006/relationships/hyperlink" Target="https://www.youtube.com/vatican" TargetMode="External"/><Relationship Id="rId147" Type="http://schemas.openxmlformats.org/officeDocument/2006/relationships/hyperlink" Target="https://www.youtube.com/minrexpanama" TargetMode="External"/><Relationship Id="rId168" Type="http://schemas.openxmlformats.org/officeDocument/2006/relationships/hyperlink" Target="https://www.youtube.com/maduromoros" TargetMode="External"/><Relationship Id="rId282" Type="http://schemas.openxmlformats.org/officeDocument/2006/relationships/hyperlink" Target="https://youtube.com/channel/UCLdK05uGTvWHzZs_aE01xhg" TargetMode="External"/><Relationship Id="rId312" Type="http://schemas.openxmlformats.org/officeDocument/2006/relationships/hyperlink" Target="https://youtube.com/prfortaleza" TargetMode="External"/><Relationship Id="rId8" Type="http://schemas.openxmlformats.org/officeDocument/2006/relationships/hyperlink" Target="https://www.youtube.com/presidentkagame" TargetMode="External"/><Relationship Id="rId51" Type="http://schemas.openxmlformats.org/officeDocument/2006/relationships/hyperlink" Target="https://youtube.com/user/NoyTV" TargetMode="External"/><Relationship Id="rId72" Type="http://schemas.openxmlformats.org/officeDocument/2006/relationships/hyperlink" Target="https://www.youtube.com/EUExternalAction" TargetMode="External"/><Relationship Id="rId93" Type="http://schemas.openxmlformats.org/officeDocument/2006/relationships/hyperlink" Target="https://www.youtube.com/PresidentofLithuania" TargetMode="External"/><Relationship Id="rId98" Type="http://schemas.openxmlformats.org/officeDocument/2006/relationships/hyperlink" Target="https://www.youtube.com/MAEIERM" TargetMode="External"/><Relationship Id="rId121" Type="http://schemas.openxmlformats.org/officeDocument/2006/relationships/hyperlink" Target="https://www.youtube.com/PresidentGovUa" TargetMode="External"/><Relationship Id="rId142" Type="http://schemas.openxmlformats.org/officeDocument/2006/relationships/hyperlink" Target="https://www.youtube.com/govgd" TargetMode="External"/><Relationship Id="rId163" Type="http://schemas.openxmlformats.org/officeDocument/2006/relationships/hyperlink" Target="https://www.youtube.com/channel/UCv3Sy8PzrAlxncQ9BjOYi9A" TargetMode="External"/><Relationship Id="rId184" Type="http://schemas.openxmlformats.org/officeDocument/2006/relationships/hyperlink" Target="https://youtube.com/EUCouncil" TargetMode="External"/><Relationship Id="rId189" Type="http://schemas.openxmlformats.org/officeDocument/2006/relationships/hyperlink" Target="https://youtube.com/IstanaRakyat" TargetMode="External"/><Relationship Id="rId219" Type="http://schemas.openxmlformats.org/officeDocument/2006/relationships/hyperlink" Target="https://youtube.com/OFMUAE" TargetMode="External"/><Relationship Id="rId3" Type="http://schemas.openxmlformats.org/officeDocument/2006/relationships/hyperlink" Target="https://www.youtube.com/channel/UCVqArgjwmnTAyMgZ-xm6Lcw" TargetMode="External"/><Relationship Id="rId214" Type="http://schemas.openxmlformats.org/officeDocument/2006/relationships/hyperlink" Target="https://youtube.com/HukoomiQatar" TargetMode="External"/><Relationship Id="rId230" Type="http://schemas.openxmlformats.org/officeDocument/2006/relationships/hyperlink" Target="https://youtube.com/marianorajoy" TargetMode="External"/><Relationship Id="rId235" Type="http://schemas.openxmlformats.org/officeDocument/2006/relationships/hyperlink" Target="https://youtube.com/otptt" TargetMode="External"/><Relationship Id="rId251" Type="http://schemas.openxmlformats.org/officeDocument/2006/relationships/hyperlink" Target="https://www.youtube.com/kbzayed" TargetMode="External"/><Relationship Id="rId256" Type="http://schemas.openxmlformats.org/officeDocument/2006/relationships/hyperlink" Target="https://youtube.com/poroshenkopetro" TargetMode="External"/><Relationship Id="rId277" Type="http://schemas.openxmlformats.org/officeDocument/2006/relationships/hyperlink" Target="https://youtube.com/AlemaniaDiplo" TargetMode="External"/><Relationship Id="rId298" Type="http://schemas.openxmlformats.org/officeDocument/2006/relationships/hyperlink" Target="https://youtube.com/comunicacionecuador" TargetMode="External"/><Relationship Id="rId25" Type="http://schemas.openxmlformats.org/officeDocument/2006/relationships/hyperlink" Target="https://www.youtube.com/MFAAzerbaijan" TargetMode="External"/><Relationship Id="rId46" Type="http://schemas.openxmlformats.org/officeDocument/2006/relationships/hyperlink" Target="https://www.youtube.com/presidencymv" TargetMode="External"/><Relationship Id="rId67" Type="http://schemas.openxmlformats.org/officeDocument/2006/relationships/hyperlink" Target="https://www.youtube.com/udenrigsministeriet" TargetMode="External"/><Relationship Id="rId116" Type="http://schemas.openxmlformats.org/officeDocument/2006/relationships/hyperlink" Target="https://www.youtube.com/lamoncloa" TargetMode="External"/><Relationship Id="rId137" Type="http://schemas.openxmlformats.org/officeDocument/2006/relationships/hyperlink" Target="https://www.youtube.com/cubadebatecu" TargetMode="External"/><Relationship Id="rId158" Type="http://schemas.openxmlformats.org/officeDocument/2006/relationships/hyperlink" Target="https://www.youtube.com/sigcolombia" TargetMode="External"/><Relationship Id="rId272" Type="http://schemas.openxmlformats.org/officeDocument/2006/relationships/hyperlink" Target="https://www.youtube.com/channel/UCH7NgTLFA_Yxac7fvjVjEVA" TargetMode="External"/><Relationship Id="rId293" Type="http://schemas.openxmlformats.org/officeDocument/2006/relationships/hyperlink" Target="https://youtube.com/channel/UCGB9EhryH_MQz81kgxVJzqA" TargetMode="External"/><Relationship Id="rId302" Type="http://schemas.openxmlformats.org/officeDocument/2006/relationships/hyperlink" Target="https://youtube.com/thebgis" TargetMode="External"/><Relationship Id="rId307" Type="http://schemas.openxmlformats.org/officeDocument/2006/relationships/hyperlink" Target="https://youtube.com/soyjuanmanuelsantos" TargetMode="External"/><Relationship Id="rId20" Type="http://schemas.openxmlformats.org/officeDocument/2006/relationships/hyperlink" Target="https://www.youtube.com/channel/UCiHoMDXJQboJy1UEN-hBU9A" TargetMode="External"/><Relationship Id="rId41" Type="http://schemas.openxmlformats.org/officeDocument/2006/relationships/hyperlink" Target="https://www.youtube.com/primeministerkz" TargetMode="External"/><Relationship Id="rId62" Type="http://schemas.openxmlformats.org/officeDocument/2006/relationships/hyperlink" Target="https://www.youtube.com/BelarusMFA" TargetMode="External"/><Relationship Id="rId83" Type="http://schemas.openxmlformats.org/officeDocument/2006/relationships/hyperlink" Target="https://www.youtube.com/kormanyhu" TargetMode="External"/><Relationship Id="rId88" Type="http://schemas.openxmlformats.org/officeDocument/2006/relationships/hyperlink" Target="https://www.youtube.com/presidencakosoves" TargetMode="External"/><Relationship Id="rId111" Type="http://schemas.openxmlformats.org/officeDocument/2006/relationships/hyperlink" Target="https://www.youtube.com/MAERomania" TargetMode="External"/><Relationship Id="rId132" Type="http://schemas.openxmlformats.org/officeDocument/2006/relationships/hyperlink" Target="https://www.youtube.com/vaticande" TargetMode="External"/><Relationship Id="rId153" Type="http://schemas.openxmlformats.org/officeDocument/2006/relationships/hyperlink" Target="https://www.youtube.com/vanuatugovernment" TargetMode="External"/><Relationship Id="rId174" Type="http://schemas.openxmlformats.org/officeDocument/2006/relationships/hyperlink" Target="https://youtube.com/ashrafghani" TargetMode="External"/><Relationship Id="rId179" Type="http://schemas.openxmlformats.org/officeDocument/2006/relationships/hyperlink" Target="https://youtube.com/mreparaguay" TargetMode="External"/><Relationship Id="rId195" Type="http://schemas.openxmlformats.org/officeDocument/2006/relationships/hyperlink" Target="https://youtube.com/PrimatureRDC" TargetMode="External"/><Relationship Id="rId209" Type="http://schemas.openxmlformats.org/officeDocument/2006/relationships/hyperlink" Target="https://www.youtube.com/user/pmkzinfo" TargetMode="External"/><Relationship Id="rId190" Type="http://schemas.openxmlformats.org/officeDocument/2006/relationships/hyperlink" Target="https://youtube.com/OPMJamaica" TargetMode="External"/><Relationship Id="rId204" Type="http://schemas.openxmlformats.org/officeDocument/2006/relationships/hyperlink" Target="https://youtube.com/Netanyahu" TargetMode="External"/><Relationship Id="rId220" Type="http://schemas.openxmlformats.org/officeDocument/2006/relationships/hyperlink" Target="https://youtube.com/heifi2010" TargetMode="External"/><Relationship Id="rId225" Type="http://schemas.openxmlformats.org/officeDocument/2006/relationships/hyperlink" Target="https://youtube.com/matteorenzi" TargetMode="External"/><Relationship Id="rId241" Type="http://schemas.openxmlformats.org/officeDocument/2006/relationships/hyperlink" Target="https://youtube.com/PresesDienests" TargetMode="External"/><Relationship Id="rId246" Type="http://schemas.openxmlformats.org/officeDocument/2006/relationships/hyperlink" Target="https://www.youtube.com/gebranbassil" TargetMode="External"/><Relationship Id="rId267" Type="http://schemas.openxmlformats.org/officeDocument/2006/relationships/hyperlink" Target="https://youtube.com/channel/UCoWSDG1zkt__vt7VYgZEHZA" TargetMode="External"/><Relationship Id="rId288" Type="http://schemas.openxmlformats.org/officeDocument/2006/relationships/hyperlink" Target="https://youtube.com/channel/UC-PLPWVOVGRIJkI1bBm5uUw" TargetMode="External"/><Relationship Id="rId15" Type="http://schemas.openxmlformats.org/officeDocument/2006/relationships/hyperlink" Target="https://www.youtube.com/presidenceTN" TargetMode="External"/><Relationship Id="rId36" Type="http://schemas.openxmlformats.org/officeDocument/2006/relationships/hyperlink" Target="https://www.youtube.com/kanteijp" TargetMode="External"/><Relationship Id="rId57" Type="http://schemas.openxmlformats.org/officeDocument/2006/relationships/hyperlink" Target="https://www.youtube.com/MOFAUAE" TargetMode="External"/><Relationship Id="rId106" Type="http://schemas.openxmlformats.org/officeDocument/2006/relationships/hyperlink" Target="https://www.youtube.com/wwwprezydentpl" TargetMode="External"/><Relationship Id="rId127" Type="http://schemas.openxmlformats.org/officeDocument/2006/relationships/hyperlink" Target="https://www.youtube.com/vaticancn" TargetMode="External"/><Relationship Id="rId262" Type="http://schemas.openxmlformats.org/officeDocument/2006/relationships/hyperlink" Target="https://youtube.com/channel/UCmNEpWzv7HZZTJsU5p4snsQ" TargetMode="External"/><Relationship Id="rId283" Type="http://schemas.openxmlformats.org/officeDocument/2006/relationships/hyperlink" Target="https://youtube.com/MRREEUY" TargetMode="External"/><Relationship Id="rId313" Type="http://schemas.openxmlformats.org/officeDocument/2006/relationships/hyperlink" Target="https://youtube.com/channel/UCqeo_ZmJFv5G7NT2v8UIEZA" TargetMode="External"/><Relationship Id="rId10" Type="http://schemas.openxmlformats.org/officeDocument/2006/relationships/hyperlink" Target="https://www.youtube.com/PrimatureRwanda" TargetMode="External"/><Relationship Id="rId31" Type="http://schemas.openxmlformats.org/officeDocument/2006/relationships/hyperlink" Target="https://www.youtube.com/MeaIndia" TargetMode="External"/><Relationship Id="rId52" Type="http://schemas.openxmlformats.org/officeDocument/2006/relationships/hyperlink" Target="https://www.youtube.com/govsingapore" TargetMode="External"/><Relationship Id="rId73" Type="http://schemas.openxmlformats.org/officeDocument/2006/relationships/hyperlink" Target="https://www.youtube.com/VladaMakedonija" TargetMode="External"/><Relationship Id="rId78" Type="http://schemas.openxmlformats.org/officeDocument/2006/relationships/hyperlink" Target="https://www.youtube.com/bundesregierung" TargetMode="External"/><Relationship Id="rId94" Type="http://schemas.openxmlformats.org/officeDocument/2006/relationships/hyperlink" Target="https://www.youtube.com/lrvyriausybe" TargetMode="External"/><Relationship Id="rId99" Type="http://schemas.openxmlformats.org/officeDocument/2006/relationships/hyperlink" Target="https://www.youtube.com/MeGovernment" TargetMode="External"/><Relationship Id="rId101" Type="http://schemas.openxmlformats.org/officeDocument/2006/relationships/hyperlink" Target="https://www.youtube.com/rijksoverheid" TargetMode="External"/><Relationship Id="rId122" Type="http://schemas.openxmlformats.org/officeDocument/2006/relationships/hyperlink" Target="https://www.youtube.com/UkraineMFA" TargetMode="External"/><Relationship Id="rId143" Type="http://schemas.openxmlformats.org/officeDocument/2006/relationships/hyperlink" Target="https://www.youtube.com/GobiernodeGuatemala" TargetMode="External"/><Relationship Id="rId148" Type="http://schemas.openxmlformats.org/officeDocument/2006/relationships/hyperlink" Target="https://www.youtube.com/whitehouse" TargetMode="External"/><Relationship Id="rId164" Type="http://schemas.openxmlformats.org/officeDocument/2006/relationships/hyperlink" Target="https://www.youtube.com/PresidenciaPeru" TargetMode="External"/><Relationship Id="rId169" Type="http://schemas.openxmlformats.org/officeDocument/2006/relationships/hyperlink" Target="https://www.youtube.com/mpprevideos" TargetMode="External"/><Relationship Id="rId185" Type="http://schemas.openxmlformats.org/officeDocument/2006/relationships/hyperlink" Target="https://youtube.com/fhollande" TargetMode="External"/><Relationship Id="rId4" Type="http://schemas.openxmlformats.org/officeDocument/2006/relationships/hyperlink" Target="https://www.youtube.com/gouvcivideo" TargetMode="External"/><Relationship Id="rId9" Type="http://schemas.openxmlformats.org/officeDocument/2006/relationships/hyperlink" Target="https://www.youtube.com/RwandaGov" TargetMode="External"/><Relationship Id="rId180" Type="http://schemas.openxmlformats.org/officeDocument/2006/relationships/hyperlink" Target="https://youtube.com/MIREXRD" TargetMode="External"/><Relationship Id="rId210" Type="http://schemas.openxmlformats.org/officeDocument/2006/relationships/hyperlink" Target="https://youtube.com/SalamTammam" TargetMode="External"/><Relationship Id="rId215" Type="http://schemas.openxmlformats.org/officeDocument/2006/relationships/hyperlink" Target="https://youtube.com/saudiportal" TargetMode="External"/><Relationship Id="rId236" Type="http://schemas.openxmlformats.org/officeDocument/2006/relationships/hyperlink" Target="https://youtube.com/mfagovtt" TargetMode="External"/><Relationship Id="rId257" Type="http://schemas.openxmlformats.org/officeDocument/2006/relationships/hyperlink" Target="https://www.youtube.com/saintluciagovernment" TargetMode="External"/><Relationship Id="rId278" Type="http://schemas.openxmlformats.org/officeDocument/2006/relationships/hyperlink" Target="https://youtube.com/GermanijaDiplo" TargetMode="External"/><Relationship Id="rId26" Type="http://schemas.openxmlformats.org/officeDocument/2006/relationships/hyperlink" Target="https://www.youtube.com/bahrainvideo" TargetMode="External"/><Relationship Id="rId231" Type="http://schemas.openxmlformats.org/officeDocument/2006/relationships/hyperlink" Target="https://youtube.com/MevlutCavusoglu" TargetMode="External"/><Relationship Id="rId252" Type="http://schemas.openxmlformats.org/officeDocument/2006/relationships/hyperlink" Target="https://www.youtube.com/michellebacheletpdta" TargetMode="External"/><Relationship Id="rId273" Type="http://schemas.openxmlformats.org/officeDocument/2006/relationships/hyperlink" Target="https://youtube.com/channel/UC4fI8q0yj_gkonQlKy_J2Gw" TargetMode="External"/><Relationship Id="rId294" Type="http://schemas.openxmlformats.org/officeDocument/2006/relationships/hyperlink" Target="https://youtube.com/monacowebdoc" TargetMode="External"/><Relationship Id="rId308" Type="http://schemas.openxmlformats.org/officeDocument/2006/relationships/hyperlink" Target="https://youtube.com/LibyaTgovernment" TargetMode="External"/><Relationship Id="rId47" Type="http://schemas.openxmlformats.org/officeDocument/2006/relationships/hyperlink" Target="https://www.youtube.com/presidentElbegdorj" TargetMode="External"/><Relationship Id="rId68" Type="http://schemas.openxmlformats.org/officeDocument/2006/relationships/hyperlink" Target="https://www.youtube.com/presidendikantselei" TargetMode="External"/><Relationship Id="rId89" Type="http://schemas.openxmlformats.org/officeDocument/2006/relationships/hyperlink" Target="https://youtube.com/channel/UCp_iicCGZGGs8fgmc1hMUYg" TargetMode="External"/><Relationship Id="rId112" Type="http://schemas.openxmlformats.org/officeDocument/2006/relationships/hyperlink" Target="https://www.youtube.com/kremlin" TargetMode="External"/><Relationship Id="rId133" Type="http://schemas.openxmlformats.org/officeDocument/2006/relationships/hyperlink" Target="https://www.youtube.com/antiguagovernment" TargetMode="External"/><Relationship Id="rId154" Type="http://schemas.openxmlformats.org/officeDocument/2006/relationships/hyperlink" Target="https://www.youtube.com/casarosada" TargetMode="External"/><Relationship Id="rId175" Type="http://schemas.openxmlformats.org/officeDocument/2006/relationships/hyperlink" Target="https://youtube.com/BarackObama" TargetMode="External"/><Relationship Id="rId196" Type="http://schemas.openxmlformats.org/officeDocument/2006/relationships/hyperlink" Target="https://youtube.com/egyptgovportal" TargetMode="External"/><Relationship Id="rId200" Type="http://schemas.openxmlformats.org/officeDocument/2006/relationships/hyperlink" Target="https://youtube.com/MFAofArmenia" TargetMode="External"/><Relationship Id="rId16" Type="http://schemas.openxmlformats.org/officeDocument/2006/relationships/hyperlink" Target="https://www.youtube.com/maetunisie" TargetMode="External"/><Relationship Id="rId221" Type="http://schemas.openxmlformats.org/officeDocument/2006/relationships/hyperlink" Target="https://youtube.com/bundeskanzlerfaymann" TargetMode="External"/><Relationship Id="rId242" Type="http://schemas.openxmlformats.org/officeDocument/2006/relationships/hyperlink" Target="https://youtube.com/abdelaziz_bouteflika" TargetMode="External"/><Relationship Id="rId263" Type="http://schemas.openxmlformats.org/officeDocument/2006/relationships/hyperlink" Target="https://www.youtube.com/channel/UCMKu2CsilpW8OZ31LdW0vuw" TargetMode="External"/><Relationship Id="rId284" Type="http://schemas.openxmlformats.org/officeDocument/2006/relationships/hyperlink" Target="https://youtube.com/presidentlv" TargetMode="External"/><Relationship Id="rId37" Type="http://schemas.openxmlformats.org/officeDocument/2006/relationships/hyperlink" Target="https://www.youtube.com/pmojapan" TargetMode="External"/><Relationship Id="rId58" Type="http://schemas.openxmlformats.org/officeDocument/2006/relationships/hyperlink" Target="https://www.youtube.com/channel/UCDDn9tvI20lElkuITgnbkqg" TargetMode="External"/><Relationship Id="rId79" Type="http://schemas.openxmlformats.org/officeDocument/2006/relationships/hyperlink" Target="https://www.youtube.com/AuswaertigesAmtDE" TargetMode="External"/><Relationship Id="rId102" Type="http://schemas.openxmlformats.org/officeDocument/2006/relationships/hyperlink" Target="https://www.youtube.com/DeMinPres" TargetMode="External"/><Relationship Id="rId123" Type="http://schemas.openxmlformats.org/officeDocument/2006/relationships/hyperlink" Target="https://www.youtube.com/TheRoyalChannel" TargetMode="External"/><Relationship Id="rId144" Type="http://schemas.openxmlformats.org/officeDocument/2006/relationships/hyperlink" Target="https://www.youtube.com/martelly2010" TargetMode="External"/><Relationship Id="rId90" Type="http://schemas.openxmlformats.org/officeDocument/2006/relationships/hyperlink" Target="https://www.youtube.com/valstskanceleja" TargetMode="External"/><Relationship Id="rId165" Type="http://schemas.openxmlformats.org/officeDocument/2006/relationships/hyperlink" Target="https://www.youtube.com/MREPeru" TargetMode="External"/><Relationship Id="rId186" Type="http://schemas.openxmlformats.org/officeDocument/2006/relationships/hyperlink" Target="https://youtube.com/GjorgeIvanov" TargetMode="External"/><Relationship Id="rId211" Type="http://schemas.openxmlformats.org/officeDocument/2006/relationships/hyperlink" Target="https://youtube.com/PurevsurenL" TargetMode="External"/><Relationship Id="rId232" Type="http://schemas.openxmlformats.org/officeDocument/2006/relationships/hyperlink" Target="https://youtube.com/JustinPJTrudeau" TargetMode="External"/><Relationship Id="rId253" Type="http://schemas.openxmlformats.org/officeDocument/2006/relationships/hyperlink" Target="https://www.youtube.com/mofaoman" TargetMode="External"/><Relationship Id="rId274" Type="http://schemas.openxmlformats.org/officeDocument/2006/relationships/hyperlink" Target="https://www.youtube.com/canalportalbrasil" TargetMode="External"/><Relationship Id="rId295" Type="http://schemas.openxmlformats.org/officeDocument/2006/relationships/hyperlink" Target="https://youtube.com/AungSanSuuKyi1945" TargetMode="External"/><Relationship Id="rId309" Type="http://schemas.openxmlformats.org/officeDocument/2006/relationships/hyperlink" Target="https://youtube.com/PMOfficeIndia" TargetMode="External"/><Relationship Id="rId27" Type="http://schemas.openxmlformats.org/officeDocument/2006/relationships/hyperlink" Target="https://www.youtube.com/egovbahrain" TargetMode="External"/><Relationship Id="rId48" Type="http://schemas.openxmlformats.org/officeDocument/2006/relationships/hyperlink" Target="https://www.youtube.com/TheZasag" TargetMode="External"/><Relationship Id="rId69" Type="http://schemas.openxmlformats.org/officeDocument/2006/relationships/hyperlink" Target="https://www.youtube.com/valitsuseuudised" TargetMode="External"/><Relationship Id="rId113" Type="http://schemas.openxmlformats.org/officeDocument/2006/relationships/hyperlink" Target="https://www.youtube.com/midrftube" TargetMode="External"/><Relationship Id="rId134" Type="http://schemas.openxmlformats.org/officeDocument/2006/relationships/hyperlink" Target="https://www.youtube.com/channel/UCIVMBvs03h74NSdQMH31jKA" TargetMode="External"/><Relationship Id="rId80" Type="http://schemas.openxmlformats.org/officeDocument/2006/relationships/hyperlink" Target="https://youtube.com/GermanyDiplo" TargetMode="External"/><Relationship Id="rId155" Type="http://schemas.openxmlformats.org/officeDocument/2006/relationships/hyperlink" Target="https://www.youtube.com/MRECICARG" TargetMode="External"/><Relationship Id="rId176" Type="http://schemas.openxmlformats.org/officeDocument/2006/relationships/hyperlink" Target="https://youtube.com/BejiCEOfficial" TargetMode="External"/><Relationship Id="rId197" Type="http://schemas.openxmlformats.org/officeDocument/2006/relationships/hyperlink" Target="https://youtube.com/Presidenceci" TargetMode="External"/><Relationship Id="rId201" Type="http://schemas.openxmlformats.org/officeDocument/2006/relationships/hyperlink" Target="https://youtube.com/a2iBangladesh" TargetMode="External"/><Relationship Id="rId222" Type="http://schemas.openxmlformats.org/officeDocument/2006/relationships/hyperlink" Target="https://youtube.com/GruevskiNikola" TargetMode="External"/><Relationship Id="rId243" Type="http://schemas.openxmlformats.org/officeDocument/2006/relationships/hyperlink" Target="https://www.youtube.com/andrejkiska" TargetMode="External"/><Relationship Id="rId264" Type="http://schemas.openxmlformats.org/officeDocument/2006/relationships/hyperlink" Target="https://youtube.com/GovernmentofSamoa" TargetMode="External"/><Relationship Id="rId285" Type="http://schemas.openxmlformats.org/officeDocument/2006/relationships/hyperlink" Target="https://youtube.com/regjeringen" TargetMode="External"/><Relationship Id="rId17" Type="http://schemas.openxmlformats.org/officeDocument/2006/relationships/hyperlink" Target="https://www.youtube.com/statehouseug" TargetMode="External"/><Relationship Id="rId38" Type="http://schemas.openxmlformats.org/officeDocument/2006/relationships/hyperlink" Target="https://www.youtube.com/QueenRania" TargetMode="External"/><Relationship Id="rId59" Type="http://schemas.openxmlformats.org/officeDocument/2006/relationships/hyperlink" Target="https://www.youtube.com/GovernAndorra" TargetMode="External"/><Relationship Id="rId103" Type="http://schemas.openxmlformats.org/officeDocument/2006/relationships/hyperlink" Target="https://www.youtube.com/ministerieBZ" TargetMode="External"/><Relationship Id="rId124" Type="http://schemas.openxmlformats.org/officeDocument/2006/relationships/hyperlink" Target="https://www.youtube.com/number10gov" TargetMode="External"/><Relationship Id="rId310" Type="http://schemas.openxmlformats.org/officeDocument/2006/relationships/hyperlink" Target="https://youtube.com/channel/UCoGU0YczSz_Nt8gVO4gV7ug" TargetMode="External"/><Relationship Id="rId70" Type="http://schemas.openxmlformats.org/officeDocument/2006/relationships/hyperlink" Target="https://www.youtube.com/estonianmfa" TargetMode="External"/><Relationship Id="rId91" Type="http://schemas.openxmlformats.org/officeDocument/2006/relationships/hyperlink" Target="https://www.youtube.com/LatvianMFA" TargetMode="External"/><Relationship Id="rId145" Type="http://schemas.openxmlformats.org/officeDocument/2006/relationships/hyperlink" Target="https://www.youtube.com/EnriquePenaNietoTV" TargetMode="External"/><Relationship Id="rId166" Type="http://schemas.openxmlformats.org/officeDocument/2006/relationships/hyperlink" Target="https://www.youtube.com/Presidenciatv" TargetMode="External"/><Relationship Id="rId187" Type="http://schemas.openxmlformats.org/officeDocument/2006/relationships/hyperlink" Target="https://youtube.com/gouvernementFR" TargetMode="External"/><Relationship Id="rId1" Type="http://schemas.openxmlformats.org/officeDocument/2006/relationships/hyperlink" Target="https://www.youtube.com/user/abdelmaleksellal" TargetMode="External"/><Relationship Id="rId212" Type="http://schemas.openxmlformats.org/officeDocument/2006/relationships/hyperlink" Target="https://youtube.com/kpsharmaoli" TargetMode="External"/><Relationship Id="rId233" Type="http://schemas.openxmlformats.org/officeDocument/2006/relationships/hyperlink" Target="https://youtube.com/luisguillermosr" TargetMode="External"/><Relationship Id="rId254" Type="http://schemas.openxmlformats.org/officeDocument/2006/relationships/hyperlink" Target="https://www.youtube.com/pcmperu" TargetMode="External"/><Relationship Id="rId28" Type="http://schemas.openxmlformats.org/officeDocument/2006/relationships/hyperlink" Target="https://www.youtube.com/channel/UCBmnV-XxYK0kqqMWIqJmR7g" TargetMode="External"/><Relationship Id="rId49" Type="http://schemas.openxmlformats.org/officeDocument/2006/relationships/hyperlink" Target="https://www.youtube.com/edp20111" TargetMode="External"/><Relationship Id="rId114" Type="http://schemas.openxmlformats.org/officeDocument/2006/relationships/hyperlink" Target="https://www.youtube.com/mzvsr" TargetMode="External"/><Relationship Id="rId275" Type="http://schemas.openxmlformats.org/officeDocument/2006/relationships/hyperlink" Target="https://www.youtube.com/user/gobiernofederal" TargetMode="External"/><Relationship Id="rId296" Type="http://schemas.openxmlformats.org/officeDocument/2006/relationships/hyperlink" Target="https://youtube.com/sarrmamie1" TargetMode="External"/><Relationship Id="rId300" Type="http://schemas.openxmlformats.org/officeDocument/2006/relationships/hyperlink" Target="https://youtube.com/channel/UCPV8A2GtmHK4Ac-3iBZIJpg" TargetMode="External"/><Relationship Id="rId60" Type="http://schemas.openxmlformats.org/officeDocument/2006/relationships/hyperlink" Target="https://www.youtube.com/ihrbundeskanzleramt" TargetMode="External"/><Relationship Id="rId81" Type="http://schemas.openxmlformats.org/officeDocument/2006/relationships/hyperlink" Target="https://www.youtube.com/PrimeMinisterGR" TargetMode="External"/><Relationship Id="rId135" Type="http://schemas.openxmlformats.org/officeDocument/2006/relationships/hyperlink" Target="https://www.youtube.com/channel/UCC8So6wZcnVYKCI1tRdw6yg" TargetMode="External"/><Relationship Id="rId156" Type="http://schemas.openxmlformats.org/officeDocument/2006/relationships/hyperlink" Target="https://www.youtube.com/mrebrasil" TargetMode="External"/><Relationship Id="rId177" Type="http://schemas.openxmlformats.org/officeDocument/2006/relationships/hyperlink" Target="https://youtube.com/BorutPahor" TargetMode="External"/><Relationship Id="rId198" Type="http://schemas.openxmlformats.org/officeDocument/2006/relationships/hyperlink" Target="https://youtube.com/GovernmentZA" TargetMode="External"/><Relationship Id="rId202" Type="http://schemas.openxmlformats.org/officeDocument/2006/relationships/hyperlink" Target="https://youtube.com/tsheringtobgay" TargetMode="External"/><Relationship Id="rId223" Type="http://schemas.openxmlformats.org/officeDocument/2006/relationships/hyperlink" Target="https://youtube.com/TPKanslia" TargetMode="External"/><Relationship Id="rId244" Type="http://schemas.openxmlformats.org/officeDocument/2006/relationships/hyperlink" Target="https://www.youtube.com/bahraincpnews" TargetMode="External"/><Relationship Id="rId18" Type="http://schemas.openxmlformats.org/officeDocument/2006/relationships/hyperlink" Target="https://www.youtube.com/ugandamediacentre" TargetMode="External"/><Relationship Id="rId39" Type="http://schemas.openxmlformats.org/officeDocument/2006/relationships/hyperlink" Target="https://www.youtube.com/royalhashemitecourt" TargetMode="External"/><Relationship Id="rId265" Type="http://schemas.openxmlformats.org/officeDocument/2006/relationships/hyperlink" Target="https://youtube.com/pravitelstvoRF" TargetMode="External"/><Relationship Id="rId286" Type="http://schemas.openxmlformats.org/officeDocument/2006/relationships/hyperlink" Target="https://youtube.com/AndrzejDuda" TargetMode="External"/><Relationship Id="rId50" Type="http://schemas.openxmlformats.org/officeDocument/2006/relationships/hyperlink" Target="https://www.youtube.com/RTVMalacanang" TargetMode="External"/><Relationship Id="rId104" Type="http://schemas.openxmlformats.org/officeDocument/2006/relationships/hyperlink" Target="https://www.youtube.com/DutchGovernment" TargetMode="External"/><Relationship Id="rId125" Type="http://schemas.openxmlformats.org/officeDocument/2006/relationships/hyperlink" Target="https://www.youtube.com/ukforeignoffice" TargetMode="External"/><Relationship Id="rId146" Type="http://schemas.openxmlformats.org/officeDocument/2006/relationships/hyperlink" Target="https://www.youtube.com/GobiernoNacionalPTY" TargetMode="External"/><Relationship Id="rId167" Type="http://schemas.openxmlformats.org/officeDocument/2006/relationships/hyperlink" Target="https://www.youtube.com/channel/UCKyBsWoYy4mcsL9x8gwVI1A" TargetMode="External"/><Relationship Id="rId188" Type="http://schemas.openxmlformats.org/officeDocument/2006/relationships/hyperlink" Target="https://youtube.com/HaiderAlAbadi" TargetMode="External"/><Relationship Id="rId311" Type="http://schemas.openxmlformats.org/officeDocument/2006/relationships/hyperlink" Target="https://youtube.com/channel/UCCpvchUhpiDXZaPNmvo8Cvw" TargetMode="External"/><Relationship Id="rId71" Type="http://schemas.openxmlformats.org/officeDocument/2006/relationships/hyperlink" Target="https://www.youtube.com/eutube" TargetMode="External"/><Relationship Id="rId92" Type="http://schemas.openxmlformats.org/officeDocument/2006/relationships/hyperlink" Target="https://www.youtube.com/RegierungFL" TargetMode="External"/><Relationship Id="rId213" Type="http://schemas.openxmlformats.org/officeDocument/2006/relationships/hyperlink" Target="https://youtube.com/govph" TargetMode="External"/><Relationship Id="rId234" Type="http://schemas.openxmlformats.org/officeDocument/2006/relationships/hyperlink" Target="https://youtube.com/PrimatureHT" TargetMode="External"/><Relationship Id="rId2" Type="http://schemas.openxmlformats.org/officeDocument/2006/relationships/hyperlink" Target="https://www.youtube.com/flagstaffhouse" TargetMode="External"/><Relationship Id="rId29" Type="http://schemas.openxmlformats.org/officeDocument/2006/relationships/hyperlink" Target="https://www.youtube.com/MFAGEO" TargetMode="External"/><Relationship Id="rId255" Type="http://schemas.openxmlformats.org/officeDocument/2006/relationships/hyperlink" Target="https://www.youtube.com/pierrenkurunziza" TargetMode="External"/><Relationship Id="rId276" Type="http://schemas.openxmlformats.org/officeDocument/2006/relationships/hyperlink" Target="https://youtube.com/allemagnediplo" TargetMode="External"/><Relationship Id="rId297" Type="http://schemas.openxmlformats.org/officeDocument/2006/relationships/hyperlink" Target="https://youtube.com/channel/UCOYUOwClHjweriDcsHX6mTQ" TargetMode="External"/><Relationship Id="rId40" Type="http://schemas.openxmlformats.org/officeDocument/2006/relationships/hyperlink" Target="https://www.youtube.com/akordapress" TargetMode="External"/><Relationship Id="rId115" Type="http://schemas.openxmlformats.org/officeDocument/2006/relationships/hyperlink" Target="https://www.youtube.com/channel/UCQr43X77Pvbyl3bsO6xjFmA" TargetMode="External"/><Relationship Id="rId136" Type="http://schemas.openxmlformats.org/officeDocument/2006/relationships/hyperlink" Target="https://www.youtube.com/CasaPresidencialCR" TargetMode="External"/><Relationship Id="rId157" Type="http://schemas.openxmlformats.org/officeDocument/2006/relationships/hyperlink" Target="https://www.youtube.com/lamoneda" TargetMode="External"/><Relationship Id="rId178" Type="http://schemas.openxmlformats.org/officeDocument/2006/relationships/hyperlink" Target="https://youtube.com/cabinetofficeuk" TargetMode="External"/><Relationship Id="rId301" Type="http://schemas.openxmlformats.org/officeDocument/2006/relationships/hyperlink" Target="https://youtube.com/channel/UCQFq8C-arefP-glX49lbhDQ"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youtube.com/watch?v=koRlFnBlDH0" TargetMode="External"/><Relationship Id="rId18" Type="http://schemas.openxmlformats.org/officeDocument/2006/relationships/hyperlink" Target="http://www.youtube.com/watch?v=Fe751kMBwms" TargetMode="External"/><Relationship Id="rId26" Type="http://schemas.openxmlformats.org/officeDocument/2006/relationships/hyperlink" Target="http://www.youtube.com/watch?v=ZyU213nhrh0" TargetMode="External"/><Relationship Id="rId39" Type="http://schemas.openxmlformats.org/officeDocument/2006/relationships/hyperlink" Target="http://www.youtube.com/watch?v=d1kR4q0x_T8" TargetMode="External"/><Relationship Id="rId3" Type="http://schemas.openxmlformats.org/officeDocument/2006/relationships/hyperlink" Target="http://www.youtube.com/watch?v=LXYAyHAAiCY" TargetMode="External"/><Relationship Id="rId21" Type="http://schemas.openxmlformats.org/officeDocument/2006/relationships/hyperlink" Target="http://www.youtube.com/watch?v=yEM1Xnx4Uvs" TargetMode="External"/><Relationship Id="rId34" Type="http://schemas.openxmlformats.org/officeDocument/2006/relationships/hyperlink" Target="http://www.youtube.com/watch?v=o6G3nwhPuR4" TargetMode="External"/><Relationship Id="rId42" Type="http://schemas.openxmlformats.org/officeDocument/2006/relationships/hyperlink" Target="http://www.youtube.com/watch?v=ZNYmK19-d0U" TargetMode="External"/><Relationship Id="rId47" Type="http://schemas.openxmlformats.org/officeDocument/2006/relationships/hyperlink" Target="http://www.youtube.com/watch?v=2POembdArVo" TargetMode="External"/><Relationship Id="rId50" Type="http://schemas.openxmlformats.org/officeDocument/2006/relationships/hyperlink" Target="http://www.youtube.com/watch?v=pWe7wTVbLUU" TargetMode="External"/><Relationship Id="rId7" Type="http://schemas.openxmlformats.org/officeDocument/2006/relationships/hyperlink" Target="http://www.youtube.com/watch?v=gKiOcdM6Gbk" TargetMode="External"/><Relationship Id="rId12" Type="http://schemas.openxmlformats.org/officeDocument/2006/relationships/hyperlink" Target="http://www.youtube.com/watch?v=RsWpvkLCvu4" TargetMode="External"/><Relationship Id="rId17" Type="http://schemas.openxmlformats.org/officeDocument/2006/relationships/hyperlink" Target="http://www.youtube.com/watch?v=gZR1CvSQntE" TargetMode="External"/><Relationship Id="rId25" Type="http://schemas.openxmlformats.org/officeDocument/2006/relationships/hyperlink" Target="http://www.youtube.com/watch?v=Tjl8ka3F6QU" TargetMode="External"/><Relationship Id="rId33" Type="http://schemas.openxmlformats.org/officeDocument/2006/relationships/hyperlink" Target="http://www.youtube.com/watch?v=BdjoHA5ocwU" TargetMode="External"/><Relationship Id="rId38" Type="http://schemas.openxmlformats.org/officeDocument/2006/relationships/hyperlink" Target="http://www.youtube.com/watch?v=Ab0NydUKs3o" TargetMode="External"/><Relationship Id="rId46" Type="http://schemas.openxmlformats.org/officeDocument/2006/relationships/hyperlink" Target="http://www.youtube.com/watch?v=ZyU213nhrh0" TargetMode="External"/><Relationship Id="rId2" Type="http://schemas.openxmlformats.org/officeDocument/2006/relationships/hyperlink" Target="http://www.youtube.com/watch?v=tPIkT10L7Gk" TargetMode="External"/><Relationship Id="rId16" Type="http://schemas.openxmlformats.org/officeDocument/2006/relationships/hyperlink" Target="http://www.youtube.com/watch?v=Jll5baCAaQU" TargetMode="External"/><Relationship Id="rId20" Type="http://schemas.openxmlformats.org/officeDocument/2006/relationships/hyperlink" Target="http://www.youtube.com/watch?v=ZNYmK19-d0U" TargetMode="External"/><Relationship Id="rId29" Type="http://schemas.openxmlformats.org/officeDocument/2006/relationships/hyperlink" Target="http://www.youtube.com/watch?v=gZR1CvSQntE" TargetMode="External"/><Relationship Id="rId41" Type="http://schemas.openxmlformats.org/officeDocument/2006/relationships/hyperlink" Target="http://www.youtube.com/watch?v=GbR6iQ62v9k" TargetMode="External"/><Relationship Id="rId1" Type="http://schemas.openxmlformats.org/officeDocument/2006/relationships/hyperlink" Target="http://www.youtube.com/watch?v=WYgDAmtrcJQ" TargetMode="External"/><Relationship Id="rId6" Type="http://schemas.openxmlformats.org/officeDocument/2006/relationships/hyperlink" Target="http://www.youtube.com/watch?v=7KMMU-tADFA" TargetMode="External"/><Relationship Id="rId11" Type="http://schemas.openxmlformats.org/officeDocument/2006/relationships/hyperlink" Target="http://www.youtube.com/watch?v=pBK2rfZt32g" TargetMode="External"/><Relationship Id="rId24" Type="http://schemas.openxmlformats.org/officeDocument/2006/relationships/hyperlink" Target="http://www.youtube.com/watch?v=ZNYmK19-d0U" TargetMode="External"/><Relationship Id="rId32" Type="http://schemas.openxmlformats.org/officeDocument/2006/relationships/hyperlink" Target="http://www.youtube.com/watch?v=n1kaClgDbZ4" TargetMode="External"/><Relationship Id="rId37" Type="http://schemas.openxmlformats.org/officeDocument/2006/relationships/hyperlink" Target="http://www.youtube.com/watch?v=n9Kb-7_sUBo" TargetMode="External"/><Relationship Id="rId40" Type="http://schemas.openxmlformats.org/officeDocument/2006/relationships/hyperlink" Target="http://www.youtube.com/watch?v=ZNYmK19-d0U" TargetMode="External"/><Relationship Id="rId45" Type="http://schemas.openxmlformats.org/officeDocument/2006/relationships/hyperlink" Target="http://www.youtube.com/watch?v=Tjl8ka3F6QU" TargetMode="External"/><Relationship Id="rId5" Type="http://schemas.openxmlformats.org/officeDocument/2006/relationships/hyperlink" Target="http://www.youtube.com/watch?v=Q-UgBwejYJ8" TargetMode="External"/><Relationship Id="rId15" Type="http://schemas.openxmlformats.org/officeDocument/2006/relationships/hyperlink" Target="http://www.youtube.com/watch?v=pWe7wTVbLUU" TargetMode="External"/><Relationship Id="rId23" Type="http://schemas.openxmlformats.org/officeDocument/2006/relationships/hyperlink" Target="http://www.youtube.com/watch?v=pBK2rfZt32g" TargetMode="External"/><Relationship Id="rId28" Type="http://schemas.openxmlformats.org/officeDocument/2006/relationships/hyperlink" Target="http://www.youtube.com/watch?v=2POembdArVo" TargetMode="External"/><Relationship Id="rId36" Type="http://schemas.openxmlformats.org/officeDocument/2006/relationships/hyperlink" Target="http://www.youtube.com/watch?v=-KoaMdjRN7A" TargetMode="External"/><Relationship Id="rId49" Type="http://schemas.openxmlformats.org/officeDocument/2006/relationships/hyperlink" Target="http://www.youtube.com/watch?v=gZR1CvSQntE" TargetMode="External"/><Relationship Id="rId10" Type="http://schemas.openxmlformats.org/officeDocument/2006/relationships/hyperlink" Target="http://www.youtube.com/watch?v=TFf897bUW2Y" TargetMode="External"/><Relationship Id="rId19" Type="http://schemas.openxmlformats.org/officeDocument/2006/relationships/hyperlink" Target="http://www.youtube.com/watch?v=6rGaE5je7vE" TargetMode="External"/><Relationship Id="rId31" Type="http://schemas.openxmlformats.org/officeDocument/2006/relationships/hyperlink" Target="http://www.youtube.com/watch?v=mIA0W69U2_Y" TargetMode="External"/><Relationship Id="rId44" Type="http://schemas.openxmlformats.org/officeDocument/2006/relationships/hyperlink" Target="http://www.youtube.com/watch?v=pBK2rfZt32g" TargetMode="External"/><Relationship Id="rId4" Type="http://schemas.openxmlformats.org/officeDocument/2006/relationships/hyperlink" Target="http://www.youtube.com/watch?v=5uPG0nL-9Jw" TargetMode="External"/><Relationship Id="rId9" Type="http://schemas.openxmlformats.org/officeDocument/2006/relationships/hyperlink" Target="http://www.youtube.com/watch?v=X2gupFIJC9g" TargetMode="External"/><Relationship Id="rId14" Type="http://schemas.openxmlformats.org/officeDocument/2006/relationships/hyperlink" Target="http://www.youtube.com/watch?v=mIA0W69U2_Y" TargetMode="External"/><Relationship Id="rId22" Type="http://schemas.openxmlformats.org/officeDocument/2006/relationships/hyperlink" Target="http://www.youtube.com/watch?v=GbR6iQ62v9k" TargetMode="External"/><Relationship Id="rId27" Type="http://schemas.openxmlformats.org/officeDocument/2006/relationships/hyperlink" Target="http://www.youtube.com/watch?v=RsWpvkLCvu4" TargetMode="External"/><Relationship Id="rId30" Type="http://schemas.openxmlformats.org/officeDocument/2006/relationships/hyperlink" Target="http://www.youtube.com/watch?v=Jll5baCAaQU" TargetMode="External"/><Relationship Id="rId35" Type="http://schemas.openxmlformats.org/officeDocument/2006/relationships/hyperlink" Target="http://www.youtube.com/watch?v=OYZXA05_vAU" TargetMode="External"/><Relationship Id="rId43" Type="http://schemas.openxmlformats.org/officeDocument/2006/relationships/hyperlink" Target="http://www.youtube.com/watch?v=mIA0W69U2_Y" TargetMode="External"/><Relationship Id="rId48" Type="http://schemas.openxmlformats.org/officeDocument/2006/relationships/hyperlink" Target="http://www.youtube.com/watch?v=Zgfi7wnGZlE" TargetMode="External"/><Relationship Id="rId8" Type="http://schemas.openxmlformats.org/officeDocument/2006/relationships/hyperlink" Target="http://www.youtube.com/watch?v=kUhqoNS7axM" TargetMode="External"/><Relationship Id="rId5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hyperlink" Target="https://www.youtube.com/channel/UCky1dYxODbzZmrnmvsY415A" TargetMode="External"/><Relationship Id="rId21" Type="http://schemas.openxmlformats.org/officeDocument/2006/relationships/hyperlink" Target="https://www.youtube.com/UhuruKenyattaTV" TargetMode="External"/><Relationship Id="rId42" Type="http://schemas.openxmlformats.org/officeDocument/2006/relationships/hyperlink" Target="https://www.youtube.com/presidentpress" TargetMode="External"/><Relationship Id="rId63" Type="http://schemas.openxmlformats.org/officeDocument/2006/relationships/hyperlink" Target="https://www.youtube.com/israelipm" TargetMode="External"/><Relationship Id="rId84" Type="http://schemas.openxmlformats.org/officeDocument/2006/relationships/hyperlink" Target="https://www.youtube.com/TheZasag" TargetMode="External"/><Relationship Id="rId138" Type="http://schemas.openxmlformats.org/officeDocument/2006/relationships/hyperlink" Target="https://youtube.com/manuelvalls" TargetMode="External"/><Relationship Id="rId159" Type="http://schemas.openxmlformats.org/officeDocument/2006/relationships/hyperlink" Target="https://www.youtube.com/PresidentofLithuania" TargetMode="External"/><Relationship Id="rId170" Type="http://schemas.openxmlformats.org/officeDocument/2006/relationships/hyperlink" Target="https://www.youtube.com/DutchGovernment" TargetMode="External"/><Relationship Id="rId191" Type="http://schemas.openxmlformats.org/officeDocument/2006/relationships/hyperlink" Target="https://www.youtube.com/channel/UCQr43X77Pvbyl3bsO6xjFmA" TargetMode="External"/><Relationship Id="rId205" Type="http://schemas.openxmlformats.org/officeDocument/2006/relationships/hyperlink" Target="https://www.youtube.com/PresidentGovUa" TargetMode="External"/><Relationship Id="rId226" Type="http://schemas.openxmlformats.org/officeDocument/2006/relationships/hyperlink" Target="https://www.youtube.com/salvadorpresidente" TargetMode="External"/><Relationship Id="rId247" Type="http://schemas.openxmlformats.org/officeDocument/2006/relationships/hyperlink" Target="https://www.youtube.com/minfofiji" TargetMode="External"/><Relationship Id="rId107" Type="http://schemas.openxmlformats.org/officeDocument/2006/relationships/hyperlink" Target="https://www.youtube.com/kbzayed" TargetMode="External"/><Relationship Id="rId268" Type="http://schemas.openxmlformats.org/officeDocument/2006/relationships/hyperlink" Target="https://youtube.com/mreparaguay" TargetMode="External"/><Relationship Id="rId11" Type="http://schemas.openxmlformats.org/officeDocument/2006/relationships/hyperlink" Target="https://youtube.com/AlsisiOfficial" TargetMode="External"/><Relationship Id="rId32" Type="http://schemas.openxmlformats.org/officeDocument/2006/relationships/hyperlink" Target="https://youtube.com/republicoftogo" TargetMode="External"/><Relationship Id="rId53" Type="http://schemas.openxmlformats.org/officeDocument/2006/relationships/hyperlink" Target="https://www.youtube.com/MFAGEO" TargetMode="External"/><Relationship Id="rId74" Type="http://schemas.openxmlformats.org/officeDocument/2006/relationships/hyperlink" Target="https://youtube.com/Kmassimov" TargetMode="External"/><Relationship Id="rId128" Type="http://schemas.openxmlformats.org/officeDocument/2006/relationships/hyperlink" Target="https://www.youtube.com/VladaMakedonija" TargetMode="External"/><Relationship Id="rId149" Type="http://schemas.openxmlformats.org/officeDocument/2006/relationships/hyperlink" Target="https://youtube.com/matteorenzi" TargetMode="External"/><Relationship Id="rId5" Type="http://schemas.openxmlformats.org/officeDocument/2006/relationships/hyperlink" Target="https://www.youtube.com/abdelaziz_bouteflika" TargetMode="External"/><Relationship Id="rId95" Type="http://schemas.openxmlformats.org/officeDocument/2006/relationships/hyperlink" Target="https://www.youtube.com/govsingapore" TargetMode="External"/><Relationship Id="rId160" Type="http://schemas.openxmlformats.org/officeDocument/2006/relationships/hyperlink" Target="https://www.youtube.com/lrvyriausybe" TargetMode="External"/><Relationship Id="rId181" Type="http://schemas.openxmlformats.org/officeDocument/2006/relationships/hyperlink" Target="https://www.youtube.com/guvernulromaniei" TargetMode="External"/><Relationship Id="rId216" Type="http://schemas.openxmlformats.org/officeDocument/2006/relationships/hyperlink" Target="https://www.youtube.com/channel/UCC8So6wZcnVYKCI1tRdw6yg" TargetMode="External"/><Relationship Id="rId237" Type="http://schemas.openxmlformats.org/officeDocument/2006/relationships/hyperlink" Target="https://www.youtube.com/GobiernoNacionalPTY" TargetMode="External"/><Relationship Id="rId258" Type="http://schemas.openxmlformats.org/officeDocument/2006/relationships/hyperlink" Target="https://www.youtube.com/portalbrasil" TargetMode="External"/><Relationship Id="rId279" Type="http://schemas.openxmlformats.org/officeDocument/2006/relationships/hyperlink" Target="https://youtube.com/channel/UCCpvchUhpiDXZaPNmvo8Cvw" TargetMode="External"/><Relationship Id="rId22" Type="http://schemas.openxmlformats.org/officeDocument/2006/relationships/hyperlink" Target="https://www.youtube.com/chefdugouvernement" TargetMode="External"/><Relationship Id="rId43" Type="http://schemas.openxmlformats.org/officeDocument/2006/relationships/hyperlink" Target="https://www.youtube.com/egovernmentam" TargetMode="External"/><Relationship Id="rId64" Type="http://schemas.openxmlformats.org/officeDocument/2006/relationships/hyperlink" Target="https://www.youtube.com/IsraelMFA" TargetMode="External"/><Relationship Id="rId118" Type="http://schemas.openxmlformats.org/officeDocument/2006/relationships/hyperlink" Target="https://www.youtube.com/wwwvladahr" TargetMode="External"/><Relationship Id="rId139" Type="http://schemas.openxmlformats.org/officeDocument/2006/relationships/hyperlink" Target="https://www.youtube.com/bundesregierung" TargetMode="External"/><Relationship Id="rId85" Type="http://schemas.openxmlformats.org/officeDocument/2006/relationships/hyperlink" Target="https://youtube.com/PurevsurenL" TargetMode="External"/><Relationship Id="rId150" Type="http://schemas.openxmlformats.org/officeDocument/2006/relationships/hyperlink" Target="https://youtube.com/PaoloGentiloni" TargetMode="External"/><Relationship Id="rId171" Type="http://schemas.openxmlformats.org/officeDocument/2006/relationships/hyperlink" Target="https://www.youtube.com/rijksoverheid" TargetMode="External"/><Relationship Id="rId192" Type="http://schemas.openxmlformats.org/officeDocument/2006/relationships/hyperlink" Target="https://youtube.com/BorutPahor" TargetMode="External"/><Relationship Id="rId206" Type="http://schemas.openxmlformats.org/officeDocument/2006/relationships/hyperlink" Target="https://www.youtube.com/UkraineMFA" TargetMode="External"/><Relationship Id="rId227" Type="http://schemas.openxmlformats.org/officeDocument/2006/relationships/hyperlink" Target="https://www.youtube.com/govgd" TargetMode="External"/><Relationship Id="rId248" Type="http://schemas.openxmlformats.org/officeDocument/2006/relationships/hyperlink" Target="https://www.youtube.com/foreignaffairsfiji" TargetMode="External"/><Relationship Id="rId269" Type="http://schemas.openxmlformats.org/officeDocument/2006/relationships/hyperlink" Target="https://www.youtube.com/PresidenciaPeru" TargetMode="External"/><Relationship Id="rId12" Type="http://schemas.openxmlformats.org/officeDocument/2006/relationships/hyperlink" Target="https://youtube.com/egyptgovportal" TargetMode="External"/><Relationship Id="rId33" Type="http://schemas.openxmlformats.org/officeDocument/2006/relationships/hyperlink" Target="https://www.youtube.com/presidenceTN" TargetMode="External"/><Relationship Id="rId108" Type="http://schemas.openxmlformats.org/officeDocument/2006/relationships/hyperlink" Target="https://youtube.com/KhaledBahah" TargetMode="External"/><Relationship Id="rId129" Type="http://schemas.openxmlformats.org/officeDocument/2006/relationships/hyperlink" Target="https://www.youtube.com/mnrmakedonija" TargetMode="External"/><Relationship Id="rId54" Type="http://schemas.openxmlformats.org/officeDocument/2006/relationships/hyperlink" Target="https://www.youtube.com/channel/UCH7NgTLFA_Yxac7fvjVjEVA" TargetMode="External"/><Relationship Id="rId75" Type="http://schemas.openxmlformats.org/officeDocument/2006/relationships/hyperlink" Target="https://www.youtube.com/user/pmkzinfo" TargetMode="External"/><Relationship Id="rId96" Type="http://schemas.openxmlformats.org/officeDocument/2006/relationships/hyperlink" Target="https://www.youtube.com/pmosingapore" TargetMode="External"/><Relationship Id="rId140" Type="http://schemas.openxmlformats.org/officeDocument/2006/relationships/hyperlink" Target="https://www.youtube.com/AuswaertigesAmtDE" TargetMode="External"/><Relationship Id="rId161" Type="http://schemas.openxmlformats.org/officeDocument/2006/relationships/hyperlink" Target="https://www.youtube.com/MFAofLITHUANIA" TargetMode="External"/><Relationship Id="rId182" Type="http://schemas.openxmlformats.org/officeDocument/2006/relationships/hyperlink" Target="https://www.youtube.com/MAERomania" TargetMode="External"/><Relationship Id="rId217" Type="http://schemas.openxmlformats.org/officeDocument/2006/relationships/hyperlink" Target="https://youtube.com/JustinPJTrudeau" TargetMode="External"/><Relationship Id="rId6" Type="http://schemas.openxmlformats.org/officeDocument/2006/relationships/hyperlink" Target="https://www.youtube.com/yayiboni2011" TargetMode="External"/><Relationship Id="rId238" Type="http://schemas.openxmlformats.org/officeDocument/2006/relationships/hyperlink" Target="https://www.youtube.com/minrexpanama" TargetMode="External"/><Relationship Id="rId259" Type="http://schemas.openxmlformats.org/officeDocument/2006/relationships/hyperlink" Target="https://www.youtube.com/lamoneda" TargetMode="External"/><Relationship Id="rId23" Type="http://schemas.openxmlformats.org/officeDocument/2006/relationships/hyperlink" Target="https://www.youtube.com/presidenceniger" TargetMode="External"/><Relationship Id="rId119" Type="http://schemas.openxmlformats.org/officeDocument/2006/relationships/hyperlink" Target="https://www.youtube.com/mveprh" TargetMode="External"/><Relationship Id="rId270" Type="http://schemas.openxmlformats.org/officeDocument/2006/relationships/hyperlink" Target="https://www.youtube.com/MREPeru" TargetMode="External"/><Relationship Id="rId44" Type="http://schemas.openxmlformats.org/officeDocument/2006/relationships/hyperlink" Target="https://youtube.com/MFAofArmenia" TargetMode="External"/><Relationship Id="rId65" Type="http://schemas.openxmlformats.org/officeDocument/2006/relationships/hyperlink" Target="https://youtube.com/Netanyahu" TargetMode="External"/><Relationship Id="rId86" Type="http://schemas.openxmlformats.org/officeDocument/2006/relationships/hyperlink" Target="https://youtube.com/kpsharmaoli" TargetMode="External"/><Relationship Id="rId130" Type="http://schemas.openxmlformats.org/officeDocument/2006/relationships/hyperlink" Target="https://youtube.com/GjorgeIvanov" TargetMode="External"/><Relationship Id="rId151" Type="http://schemas.openxmlformats.org/officeDocument/2006/relationships/hyperlink" Target="https://www.youtube.com/presidencakosoves" TargetMode="External"/><Relationship Id="rId172" Type="http://schemas.openxmlformats.org/officeDocument/2006/relationships/hyperlink" Target="https://www.youtube.com/kongehuset" TargetMode="External"/><Relationship Id="rId193" Type="http://schemas.openxmlformats.org/officeDocument/2006/relationships/hyperlink" Target="https://www.youtube.com/lamoncloa" TargetMode="External"/><Relationship Id="rId202" Type="http://schemas.openxmlformats.org/officeDocument/2006/relationships/hyperlink" Target="https://www.youtube.com/tccumhurbaskanligi" TargetMode="External"/><Relationship Id="rId207" Type="http://schemas.openxmlformats.org/officeDocument/2006/relationships/hyperlink" Target="https://www.youtube.com/poroshenkopetro" TargetMode="External"/><Relationship Id="rId223" Type="http://schemas.openxmlformats.org/officeDocument/2006/relationships/hyperlink" Target="https://youtube.com/MIREXRD" TargetMode="External"/><Relationship Id="rId228" Type="http://schemas.openxmlformats.org/officeDocument/2006/relationships/hyperlink" Target="https://www.youtube.com/GobiernodeGuatemala" TargetMode="External"/><Relationship Id="rId244" Type="http://schemas.openxmlformats.org/officeDocument/2006/relationships/hyperlink" Target="https://youtube.com/BarackObama" TargetMode="External"/><Relationship Id="rId249" Type="http://schemas.openxmlformats.org/officeDocument/2006/relationships/hyperlink" Target="https://www.youtube.com/GovernmentofSamoa" TargetMode="External"/><Relationship Id="rId13" Type="http://schemas.openxmlformats.org/officeDocument/2006/relationships/hyperlink" Target="https://youtube.com/mfaethiopia" TargetMode="External"/><Relationship Id="rId18" Type="http://schemas.openxmlformats.org/officeDocument/2006/relationships/hyperlink" Target="https://www.youtube.com/gouvcivideo" TargetMode="External"/><Relationship Id="rId39" Type="http://schemas.openxmlformats.org/officeDocument/2006/relationships/hyperlink" Target="https://www.youtube.com/channel/UCiHoMDXJQboJy1UEN-hBU9A" TargetMode="External"/><Relationship Id="rId109" Type="http://schemas.openxmlformats.org/officeDocument/2006/relationships/hyperlink" Target="https://www.youtube.com/channel/UCDDn9tvI20lElkuITgnbkqg" TargetMode="External"/><Relationship Id="rId260" Type="http://schemas.openxmlformats.org/officeDocument/2006/relationships/hyperlink" Target="https://www.youtube.com/michellebacheletpdta" TargetMode="External"/><Relationship Id="rId265" Type="http://schemas.openxmlformats.org/officeDocument/2006/relationships/hyperlink" Target="https://www.youtube.com/CancilleriaEcuador" TargetMode="External"/><Relationship Id="rId34" Type="http://schemas.openxmlformats.org/officeDocument/2006/relationships/hyperlink" Target="https://www.youtube.com/maetunisie" TargetMode="External"/><Relationship Id="rId50" Type="http://schemas.openxmlformats.org/officeDocument/2006/relationships/hyperlink" Target="https://youtube.com/a2iBangladesh" TargetMode="External"/><Relationship Id="rId55" Type="http://schemas.openxmlformats.org/officeDocument/2006/relationships/hyperlink" Target="https://www.youtube.com/Indiandiplomacy" TargetMode="External"/><Relationship Id="rId76" Type="http://schemas.openxmlformats.org/officeDocument/2006/relationships/hyperlink" Target="https://youtube.com/MOFAKuwait" TargetMode="External"/><Relationship Id="rId97" Type="http://schemas.openxmlformats.org/officeDocument/2006/relationships/hyperlink" Target="https://www.youtube.com/cheongwadaetv" TargetMode="External"/><Relationship Id="rId104" Type="http://schemas.openxmlformats.org/officeDocument/2006/relationships/hyperlink" Target="https://www.youtube.com/HHSMohammedBinRashid" TargetMode="External"/><Relationship Id="rId120" Type="http://schemas.openxmlformats.org/officeDocument/2006/relationships/hyperlink" Target="https://youtube.com/BorissovBoyko" TargetMode="External"/><Relationship Id="rId125" Type="http://schemas.openxmlformats.org/officeDocument/2006/relationships/hyperlink" Target="https://www.youtube.com/eutube" TargetMode="External"/><Relationship Id="rId141" Type="http://schemas.openxmlformats.org/officeDocument/2006/relationships/hyperlink" Target="https://www.youtube.com/GermanyDiplo" TargetMode="External"/><Relationship Id="rId146" Type="http://schemas.openxmlformats.org/officeDocument/2006/relationships/hyperlink" Target="https://www.youtube.com/presidenzarepubblica" TargetMode="External"/><Relationship Id="rId167" Type="http://schemas.openxmlformats.org/officeDocument/2006/relationships/hyperlink" Target="https://www.youtube.com/koninklijkhuis" TargetMode="External"/><Relationship Id="rId188" Type="http://schemas.openxmlformats.org/officeDocument/2006/relationships/hyperlink" Target="https://www.youtube.com/mzvsr" TargetMode="External"/><Relationship Id="rId7" Type="http://schemas.openxmlformats.org/officeDocument/2006/relationships/hyperlink" Target="https://www.youtube.com/channel/UCMKu2CsilpW8OZ31LdW0vuw" TargetMode="External"/><Relationship Id="rId71" Type="http://schemas.openxmlformats.org/officeDocument/2006/relationships/hyperlink" Target="https://www.youtube.com/primeministerkz" TargetMode="External"/><Relationship Id="rId92" Type="http://schemas.openxmlformats.org/officeDocument/2006/relationships/hyperlink" Target="https://youtube.com/HukoomiQatar" TargetMode="External"/><Relationship Id="rId162" Type="http://schemas.openxmlformats.org/officeDocument/2006/relationships/hyperlink" Target="https://www.youtube.com/JosephMUSCATdotcom" TargetMode="External"/><Relationship Id="rId183" Type="http://schemas.openxmlformats.org/officeDocument/2006/relationships/hyperlink" Target="https://youtube.com/KlausIohannis" TargetMode="External"/><Relationship Id="rId213" Type="http://schemas.openxmlformats.org/officeDocument/2006/relationships/hyperlink" Target="https://www.youtube.com/antiguagovernment" TargetMode="External"/><Relationship Id="rId218" Type="http://schemas.openxmlformats.org/officeDocument/2006/relationships/hyperlink" Target="https://www.youtube.com/CasaPresidencialCR" TargetMode="External"/><Relationship Id="rId234" Type="http://schemas.openxmlformats.org/officeDocument/2006/relationships/hyperlink" Target="https://www.youtube.com/gobiernorepublicamx" TargetMode="External"/><Relationship Id="rId239" Type="http://schemas.openxmlformats.org/officeDocument/2006/relationships/hyperlink" Target="https://youtube.com/otptt" TargetMode="External"/><Relationship Id="rId2" Type="http://schemas.openxmlformats.org/officeDocument/2006/relationships/hyperlink" Target="https://www.facebook.com/europeancouncilpresident" TargetMode="External"/><Relationship Id="rId29" Type="http://schemas.openxmlformats.org/officeDocument/2006/relationships/hyperlink" Target="https://www.youtube.com/channel/UCjxjky1VIZISVAgUxH302kw" TargetMode="External"/><Relationship Id="rId250" Type="http://schemas.openxmlformats.org/officeDocument/2006/relationships/hyperlink" Target="https://www.youtube.com/vanuatugovernment" TargetMode="External"/><Relationship Id="rId255" Type="http://schemas.openxmlformats.org/officeDocument/2006/relationships/hyperlink" Target="https://www.youtube.com/mrebrasil" TargetMode="External"/><Relationship Id="rId271" Type="http://schemas.openxmlformats.org/officeDocument/2006/relationships/hyperlink" Target="https://www.youtube.com/pcmperu" TargetMode="External"/><Relationship Id="rId276" Type="http://schemas.openxmlformats.org/officeDocument/2006/relationships/hyperlink" Target="https://youtube.com/channel/UCnJsO1UYtrzuWSV-HLGF79g" TargetMode="External"/><Relationship Id="rId24" Type="http://schemas.openxmlformats.org/officeDocument/2006/relationships/hyperlink" Target="https://www.youtube.com/presidentkagame" TargetMode="External"/><Relationship Id="rId40" Type="http://schemas.openxmlformats.org/officeDocument/2006/relationships/hyperlink" Target="https://www.youtube.com/gmicafghanistan" TargetMode="External"/><Relationship Id="rId45" Type="http://schemas.openxmlformats.org/officeDocument/2006/relationships/hyperlink" Target="https://www.youtube.com/presidentaz" TargetMode="External"/><Relationship Id="rId66" Type="http://schemas.openxmlformats.org/officeDocument/2006/relationships/hyperlink" Target="https://www.youtube.com/kanteijp" TargetMode="External"/><Relationship Id="rId87" Type="http://schemas.openxmlformats.org/officeDocument/2006/relationships/hyperlink" Target="https://www.youtube.com/mofaoman" TargetMode="External"/><Relationship Id="rId110" Type="http://schemas.openxmlformats.org/officeDocument/2006/relationships/hyperlink" Target="https://www.youtube.com/GovernAndorra" TargetMode="External"/><Relationship Id="rId115" Type="http://schemas.openxmlformats.org/officeDocument/2006/relationships/hyperlink" Target="https://youtube.com/bundeskanzlerfaymann" TargetMode="External"/><Relationship Id="rId131" Type="http://schemas.openxmlformats.org/officeDocument/2006/relationships/hyperlink" Target="https://youtube.com/GruevskiNikola" TargetMode="External"/><Relationship Id="rId136" Type="http://schemas.openxmlformats.org/officeDocument/2006/relationships/hyperlink" Target="https://youtube.com/gouvernementFR" TargetMode="External"/><Relationship Id="rId157" Type="http://schemas.openxmlformats.org/officeDocument/2006/relationships/hyperlink" Target="https://www.youtube.com/channel/UChG7C8090M0h6eCU8TM-vGQ" TargetMode="External"/><Relationship Id="rId178" Type="http://schemas.openxmlformats.org/officeDocument/2006/relationships/hyperlink" Target="https://youtube.com/BeataSzydlo" TargetMode="External"/><Relationship Id="rId61" Type="http://schemas.openxmlformats.org/officeDocument/2006/relationships/hyperlink" Target="https://www.youtube.com/aljaffaary" TargetMode="External"/><Relationship Id="rId82" Type="http://schemas.openxmlformats.org/officeDocument/2006/relationships/hyperlink" Target="https://www.youtube.com/presidencymv" TargetMode="External"/><Relationship Id="rId152" Type="http://schemas.openxmlformats.org/officeDocument/2006/relationships/hyperlink" Target="https://www.youtube.com/MFAMPJMIP" TargetMode="External"/><Relationship Id="rId173" Type="http://schemas.openxmlformats.org/officeDocument/2006/relationships/hyperlink" Target="https://www.youtube.com/channel/UCV2LlBkQ9S1oli8q4tQw5uQ" TargetMode="External"/><Relationship Id="rId194" Type="http://schemas.openxmlformats.org/officeDocument/2006/relationships/hyperlink" Target="https://www.youtube.com/canalmaectv" TargetMode="External"/><Relationship Id="rId199" Type="http://schemas.openxmlformats.org/officeDocument/2006/relationships/hyperlink" Target="https://youtube.com/Ahmet_Davutoglu" TargetMode="External"/><Relationship Id="rId203" Type="http://schemas.openxmlformats.org/officeDocument/2006/relationships/hyperlink" Target="https://youtube.com/bbyegm" TargetMode="External"/><Relationship Id="rId208" Type="http://schemas.openxmlformats.org/officeDocument/2006/relationships/hyperlink" Target="https://www.youtube.com/TheRoyalChannel" TargetMode="External"/><Relationship Id="rId229" Type="http://schemas.openxmlformats.org/officeDocument/2006/relationships/hyperlink" Target="https://www.youtube.com/jimmymoralesgt" TargetMode="External"/><Relationship Id="rId19" Type="http://schemas.openxmlformats.org/officeDocument/2006/relationships/hyperlink" Target="https://youtube.com/Presidenceci" TargetMode="External"/><Relationship Id="rId224" Type="http://schemas.openxmlformats.org/officeDocument/2006/relationships/hyperlink" Target="https://www.youtube.com/CasaPresidencialSV" TargetMode="External"/><Relationship Id="rId240" Type="http://schemas.openxmlformats.org/officeDocument/2006/relationships/hyperlink" Target="https://youtube.com/mfagovtt" TargetMode="External"/><Relationship Id="rId245" Type="http://schemas.openxmlformats.org/officeDocument/2006/relationships/hyperlink" Target="https://youtube.com/USAdarFarsi" TargetMode="External"/><Relationship Id="rId261" Type="http://schemas.openxmlformats.org/officeDocument/2006/relationships/hyperlink" Target="https://www.youtube.com/sigcolombia" TargetMode="External"/><Relationship Id="rId266" Type="http://schemas.openxmlformats.org/officeDocument/2006/relationships/hyperlink" Target="https://youtube.com/MashiRafael" TargetMode="External"/><Relationship Id="rId14" Type="http://schemas.openxmlformats.org/officeDocument/2006/relationships/hyperlink" Target="https://www.youtube.com/flagstaffhouse" TargetMode="External"/><Relationship Id="rId30" Type="http://schemas.openxmlformats.org/officeDocument/2006/relationships/hyperlink" Target="https://www.youtube.com/PresidencyZA" TargetMode="External"/><Relationship Id="rId35" Type="http://schemas.openxmlformats.org/officeDocument/2006/relationships/hyperlink" Target="https://youtube.com/BejiCEOfficial" TargetMode="External"/><Relationship Id="rId56" Type="http://schemas.openxmlformats.org/officeDocument/2006/relationships/hyperlink" Target="https://www.youtube.com/MeaIndia" TargetMode="External"/><Relationship Id="rId77" Type="http://schemas.openxmlformats.org/officeDocument/2006/relationships/hyperlink" Target="https://www.youtube.com/presidentkg" TargetMode="External"/><Relationship Id="rId100" Type="http://schemas.openxmlformats.org/officeDocument/2006/relationships/hyperlink" Target="https://youtube.com/channel/UC6vgMvDM3qofAG5oJggj89A" TargetMode="External"/><Relationship Id="rId105" Type="http://schemas.openxmlformats.org/officeDocument/2006/relationships/hyperlink" Target="https://www.youtube.com/MOFAUAE" TargetMode="External"/><Relationship Id="rId126" Type="http://schemas.openxmlformats.org/officeDocument/2006/relationships/hyperlink" Target="https://www.youtube.com/EUExternalAction" TargetMode="External"/><Relationship Id="rId147" Type="http://schemas.openxmlformats.org/officeDocument/2006/relationships/hyperlink" Target="https://www.youtube.com/palazzochigi" TargetMode="External"/><Relationship Id="rId168" Type="http://schemas.openxmlformats.org/officeDocument/2006/relationships/hyperlink" Target="https://www.youtube.com/DeMinPres" TargetMode="External"/><Relationship Id="rId8" Type="http://schemas.openxmlformats.org/officeDocument/2006/relationships/hyperlink" Target="https://www.youtube.com/channel/UCmNEpWzv7HZZTJsU5p4snsQ" TargetMode="External"/><Relationship Id="rId51" Type="http://schemas.openxmlformats.org/officeDocument/2006/relationships/hyperlink" Target="https://youtube.com/tsheringtobgay" TargetMode="External"/><Relationship Id="rId72" Type="http://schemas.openxmlformats.org/officeDocument/2006/relationships/hyperlink" Target="https://www.youtube.com/foreignministry" TargetMode="External"/><Relationship Id="rId93" Type="http://schemas.openxmlformats.org/officeDocument/2006/relationships/hyperlink" Target="https://youtube.com/saudiportal" TargetMode="External"/><Relationship Id="rId98" Type="http://schemas.openxmlformats.org/officeDocument/2006/relationships/hyperlink" Target="https://www.youtube.com/primeministerkr" TargetMode="External"/><Relationship Id="rId121" Type="http://schemas.openxmlformats.org/officeDocument/2006/relationships/hyperlink" Target="https://www.youtube.com/udenrigsministeriet" TargetMode="External"/><Relationship Id="rId142" Type="http://schemas.openxmlformats.org/officeDocument/2006/relationships/hyperlink" Target="https://www.youtube.com/PrimeMinisterGR" TargetMode="External"/><Relationship Id="rId163" Type="http://schemas.openxmlformats.org/officeDocument/2006/relationships/hyperlink" Target="https://youtube.com/DOImalta" TargetMode="External"/><Relationship Id="rId184" Type="http://schemas.openxmlformats.org/officeDocument/2006/relationships/hyperlink" Target="https://www.youtube.com/kremlin" TargetMode="External"/><Relationship Id="rId189" Type="http://schemas.openxmlformats.org/officeDocument/2006/relationships/hyperlink" Target="https://youtube.com/fico2014" TargetMode="External"/><Relationship Id="rId219" Type="http://schemas.openxmlformats.org/officeDocument/2006/relationships/hyperlink" Target="https://www.youtube.com/cubadebatecu" TargetMode="External"/><Relationship Id="rId3" Type="http://schemas.openxmlformats.org/officeDocument/2006/relationships/hyperlink" Target="https://www.facebook.com/DeptEstadoPR" TargetMode="External"/><Relationship Id="rId214" Type="http://schemas.openxmlformats.org/officeDocument/2006/relationships/hyperlink" Target="https://www.youtube.com/gobpressoffice" TargetMode="External"/><Relationship Id="rId230" Type="http://schemas.openxmlformats.org/officeDocument/2006/relationships/hyperlink" Target="https://www.youtube.com/martelly2010" TargetMode="External"/><Relationship Id="rId235" Type="http://schemas.openxmlformats.org/officeDocument/2006/relationships/hyperlink" Target="https://youtube.com/OPMJamaica" TargetMode="External"/><Relationship Id="rId251" Type="http://schemas.openxmlformats.org/officeDocument/2006/relationships/hyperlink" Target="https://www.youtube.com/casarosada" TargetMode="External"/><Relationship Id="rId256" Type="http://schemas.openxmlformats.org/officeDocument/2006/relationships/hyperlink" Target="https://www.youtube.com/dilmarousseff" TargetMode="External"/><Relationship Id="rId277" Type="http://schemas.openxmlformats.org/officeDocument/2006/relationships/hyperlink" Target="https://youtube.com/channel/UCt6Fq64J2rTswe4uhZtxNtg" TargetMode="External"/><Relationship Id="rId25" Type="http://schemas.openxmlformats.org/officeDocument/2006/relationships/hyperlink" Target="https://www.youtube.com/RwandaGov" TargetMode="External"/><Relationship Id="rId46" Type="http://schemas.openxmlformats.org/officeDocument/2006/relationships/hyperlink" Target="https://www.youtube.com/MFAAzerbaijan" TargetMode="External"/><Relationship Id="rId67" Type="http://schemas.openxmlformats.org/officeDocument/2006/relationships/hyperlink" Target="https://www.youtube.com/pmojapan" TargetMode="External"/><Relationship Id="rId116" Type="http://schemas.openxmlformats.org/officeDocument/2006/relationships/hyperlink" Target="https://www.youtube.com/diplomatiebelgium/" TargetMode="External"/><Relationship Id="rId137" Type="http://schemas.openxmlformats.org/officeDocument/2006/relationships/hyperlink" Target="https://youtube.com/TPKanslia" TargetMode="External"/><Relationship Id="rId158" Type="http://schemas.openxmlformats.org/officeDocument/2006/relationships/hyperlink" Target="https://www.youtube.com/RegierungFL" TargetMode="External"/><Relationship Id="rId272" Type="http://schemas.openxmlformats.org/officeDocument/2006/relationships/hyperlink" Target="https://www.youtube.com/Presidenciatv" TargetMode="External"/><Relationship Id="rId20" Type="http://schemas.openxmlformats.org/officeDocument/2006/relationships/hyperlink" Target="https://youtube.com/channel/UCoWSDG1zkt__vt7VYgZEHZA" TargetMode="External"/><Relationship Id="rId41" Type="http://schemas.openxmlformats.org/officeDocument/2006/relationships/hyperlink" Target="https://youtube.com/ashrafghani" TargetMode="External"/><Relationship Id="rId62" Type="http://schemas.openxmlformats.org/officeDocument/2006/relationships/hyperlink" Target="https://youtube.com/HaiderAlAbadi" TargetMode="External"/><Relationship Id="rId83" Type="http://schemas.openxmlformats.org/officeDocument/2006/relationships/hyperlink" Target="https://www.youtube.com/presidentElbegdorj" TargetMode="External"/><Relationship Id="rId88" Type="http://schemas.openxmlformats.org/officeDocument/2006/relationships/hyperlink" Target="https://www.youtube.com/RTVMalacanang" TargetMode="External"/><Relationship Id="rId111" Type="http://schemas.openxmlformats.org/officeDocument/2006/relationships/hyperlink" Target="https://www.youtube.com/ihrbundeskanzleramt" TargetMode="External"/><Relationship Id="rId132" Type="http://schemas.openxmlformats.org/officeDocument/2006/relationships/hyperlink" Target="https://www.youtube.com/ForminFinland/" TargetMode="External"/><Relationship Id="rId153" Type="http://schemas.openxmlformats.org/officeDocument/2006/relationships/hyperlink" Target="https://www.youtube.com/hashimthaciofficial" TargetMode="External"/><Relationship Id="rId174" Type="http://schemas.openxmlformats.org/officeDocument/2006/relationships/hyperlink" Target="https://www.youtube.com/wwwprezydentpl" TargetMode="External"/><Relationship Id="rId179" Type="http://schemas.openxmlformats.org/officeDocument/2006/relationships/hyperlink" Target="https://www.youtube.com/PresidenciaRepublica" TargetMode="External"/><Relationship Id="rId195" Type="http://schemas.openxmlformats.org/officeDocument/2006/relationships/hyperlink" Target="https://www.youtube.com/kungahuset" TargetMode="External"/><Relationship Id="rId209" Type="http://schemas.openxmlformats.org/officeDocument/2006/relationships/hyperlink" Target="https://www.youtube.com/number10gov" TargetMode="External"/><Relationship Id="rId190" Type="http://schemas.openxmlformats.org/officeDocument/2006/relationships/hyperlink" Target="https://www.youtube.com/andrejkiska" TargetMode="External"/><Relationship Id="rId204" Type="http://schemas.openxmlformats.org/officeDocument/2006/relationships/hyperlink" Target="https://www.youtube.com/trpresidency" TargetMode="External"/><Relationship Id="rId220" Type="http://schemas.openxmlformats.org/officeDocument/2006/relationships/hyperlink" Target="https://www.youtube.com/cubaminrex" TargetMode="External"/><Relationship Id="rId225" Type="http://schemas.openxmlformats.org/officeDocument/2006/relationships/hyperlink" Target="https://www.youtube.com/cancilleria1" TargetMode="External"/><Relationship Id="rId241" Type="http://schemas.openxmlformats.org/officeDocument/2006/relationships/hyperlink" Target="https://www.youtube.com/saintluciagovernment" TargetMode="External"/><Relationship Id="rId246" Type="http://schemas.openxmlformats.org/officeDocument/2006/relationships/hyperlink" Target="https://www.youtube.com/dfat" TargetMode="External"/><Relationship Id="rId267" Type="http://schemas.openxmlformats.org/officeDocument/2006/relationships/hyperlink" Target="https://www.youtube.com/channel/UCv3Sy8PzrAlxncQ9BjOYi9A" TargetMode="External"/><Relationship Id="rId15" Type="http://schemas.openxmlformats.org/officeDocument/2006/relationships/hyperlink" Target="https://youtube.com/JDMahama" TargetMode="External"/><Relationship Id="rId36" Type="http://schemas.openxmlformats.org/officeDocument/2006/relationships/hyperlink" Target="https://www.youtube.com/statehouseug" TargetMode="External"/><Relationship Id="rId57" Type="http://schemas.openxmlformats.org/officeDocument/2006/relationships/hyperlink" Target="https://youtube.com/narendramodi" TargetMode="External"/><Relationship Id="rId106" Type="http://schemas.openxmlformats.org/officeDocument/2006/relationships/hyperlink" Target="https://youtube.com/OFMUAE" TargetMode="External"/><Relationship Id="rId127" Type="http://schemas.openxmlformats.org/officeDocument/2006/relationships/hyperlink" Target="https://youtube.com/EUCouncil" TargetMode="External"/><Relationship Id="rId262" Type="http://schemas.openxmlformats.org/officeDocument/2006/relationships/hyperlink" Target="https://www.youtube.com/CancilleriaCol" TargetMode="External"/><Relationship Id="rId10" Type="http://schemas.openxmlformats.org/officeDocument/2006/relationships/hyperlink" Target="https://youtube.com/PrimatureRDC" TargetMode="External"/><Relationship Id="rId31" Type="http://schemas.openxmlformats.org/officeDocument/2006/relationships/hyperlink" Target="https://youtube.com/GovernmentZA" TargetMode="External"/><Relationship Id="rId52" Type="http://schemas.openxmlformats.org/officeDocument/2006/relationships/hyperlink" Target="https://www.youtube.com/channel/UCBmnV-XxYK0kqqMWIqJmR7g" TargetMode="External"/><Relationship Id="rId73" Type="http://schemas.openxmlformats.org/officeDocument/2006/relationships/hyperlink" Target="https://youtube.com/ortcomkzE" TargetMode="External"/><Relationship Id="rId78" Type="http://schemas.openxmlformats.org/officeDocument/2006/relationships/hyperlink" Target="https://youtube.com/SalamTammam" TargetMode="External"/><Relationship Id="rId94" Type="http://schemas.openxmlformats.org/officeDocument/2006/relationships/hyperlink" Target="https://youtube.com/ksamofa" TargetMode="External"/><Relationship Id="rId99" Type="http://schemas.openxmlformats.org/officeDocument/2006/relationships/hyperlink" Target="https://www.youtube.com/SLMFA" TargetMode="External"/><Relationship Id="rId101" Type="http://schemas.openxmlformats.org/officeDocument/2006/relationships/hyperlink" Target="https://youtube.com/presstj" TargetMode="External"/><Relationship Id="rId122" Type="http://schemas.openxmlformats.org/officeDocument/2006/relationships/hyperlink" Target="https://www.youtube.com/presidendikantselei" TargetMode="External"/><Relationship Id="rId143" Type="http://schemas.openxmlformats.org/officeDocument/2006/relationships/hyperlink" Target="https://www.youtube.com/GreeceMFA" TargetMode="External"/><Relationship Id="rId148" Type="http://schemas.openxmlformats.org/officeDocument/2006/relationships/hyperlink" Target="https://www.youtube.com/MinisteroEsteri" TargetMode="External"/><Relationship Id="rId164" Type="http://schemas.openxmlformats.org/officeDocument/2006/relationships/hyperlink" Target="https://www.youtube.com/channel/UCIXYOBuejyv3il1g8Gd0tHw" TargetMode="External"/><Relationship Id="rId169" Type="http://schemas.openxmlformats.org/officeDocument/2006/relationships/hyperlink" Target="https://www.youtube.com/ministerieBZ" TargetMode="External"/><Relationship Id="rId185" Type="http://schemas.openxmlformats.org/officeDocument/2006/relationships/hyperlink" Target="https://www.youtube.com/midrftube" TargetMode="External"/><Relationship Id="rId4" Type="http://schemas.openxmlformats.org/officeDocument/2006/relationships/hyperlink" Target="https://www.youtube.com/user/abdelmaleksellal" TargetMode="External"/><Relationship Id="rId9" Type="http://schemas.openxmlformats.org/officeDocument/2006/relationships/hyperlink" Target="https://www.youtube.com/pierrenkurunziza" TargetMode="External"/><Relationship Id="rId180" Type="http://schemas.openxmlformats.org/officeDocument/2006/relationships/hyperlink" Target="https://youtube.com/prcavacosilva" TargetMode="External"/><Relationship Id="rId210" Type="http://schemas.openxmlformats.org/officeDocument/2006/relationships/hyperlink" Target="https://www.youtube.com/ukforeignoffice" TargetMode="External"/><Relationship Id="rId215" Type="http://schemas.openxmlformats.org/officeDocument/2006/relationships/hyperlink" Target="https://www.youtube.com/channel/UCIVMBvs03h74NSdQMH31jKA" TargetMode="External"/><Relationship Id="rId236" Type="http://schemas.openxmlformats.org/officeDocument/2006/relationships/hyperlink" Target="https://youtube.com/channel/UC40sKLFAX_YQzGrF13QpipQ" TargetMode="External"/><Relationship Id="rId257" Type="http://schemas.openxmlformats.org/officeDocument/2006/relationships/hyperlink" Target="https://www.youtube.com/palaciodoplanalto" TargetMode="External"/><Relationship Id="rId278" Type="http://schemas.openxmlformats.org/officeDocument/2006/relationships/hyperlink" Target="https://youtube.com/PMOfficeIndia" TargetMode="External"/><Relationship Id="rId26" Type="http://schemas.openxmlformats.org/officeDocument/2006/relationships/hyperlink" Target="https://www.youtube.com/PrimatureRwanda" TargetMode="External"/><Relationship Id="rId231" Type="http://schemas.openxmlformats.org/officeDocument/2006/relationships/hyperlink" Target="https://youtube.com/MAECHaiti" TargetMode="External"/><Relationship Id="rId252" Type="http://schemas.openxmlformats.org/officeDocument/2006/relationships/hyperlink" Target="https://www.youtube.com/MRECICARG" TargetMode="External"/><Relationship Id="rId273" Type="http://schemas.openxmlformats.org/officeDocument/2006/relationships/hyperlink" Target="https://www.youtube.com/channel/UCQK5oclaX919o8lUZGwXQFg" TargetMode="External"/><Relationship Id="rId47" Type="http://schemas.openxmlformats.org/officeDocument/2006/relationships/hyperlink" Target="https://www.youtube.com/bahraincpnews" TargetMode="External"/><Relationship Id="rId68" Type="http://schemas.openxmlformats.org/officeDocument/2006/relationships/hyperlink" Target="https://www.youtube.com/QueenRania" TargetMode="External"/><Relationship Id="rId89" Type="http://schemas.openxmlformats.org/officeDocument/2006/relationships/hyperlink" Target="https://www.youtube.com/NoyTV" TargetMode="External"/><Relationship Id="rId112" Type="http://schemas.openxmlformats.org/officeDocument/2006/relationships/hyperlink" Target="https://www.youtube.com/Minoritenplatz8" TargetMode="External"/><Relationship Id="rId133" Type="http://schemas.openxmlformats.org/officeDocument/2006/relationships/hyperlink" Target="https://www.youtube.com/ELYSEE" TargetMode="External"/><Relationship Id="rId154" Type="http://schemas.openxmlformats.org/officeDocument/2006/relationships/hyperlink" Target="https://www.youtube.com/valstskanceleja" TargetMode="External"/><Relationship Id="rId175" Type="http://schemas.openxmlformats.org/officeDocument/2006/relationships/hyperlink" Target="https://www.youtube.com/KancelariaPremiera" TargetMode="External"/><Relationship Id="rId196" Type="http://schemas.openxmlformats.org/officeDocument/2006/relationships/hyperlink" Target="https://www.youtube.com/Utrikesdepartementet" TargetMode="External"/><Relationship Id="rId200" Type="http://schemas.openxmlformats.org/officeDocument/2006/relationships/hyperlink" Target="https://youtube.com/MevlutCavusoglu" TargetMode="External"/><Relationship Id="rId16" Type="http://schemas.openxmlformats.org/officeDocument/2006/relationships/hyperlink" Target="https://youtube.com/JohnDramaniMahama" TargetMode="External"/><Relationship Id="rId221" Type="http://schemas.openxmlformats.org/officeDocument/2006/relationships/hyperlink" Target="https://youtube.com/luisguillermosr" TargetMode="External"/><Relationship Id="rId242" Type="http://schemas.openxmlformats.org/officeDocument/2006/relationships/hyperlink" Target="https://www.youtube.com/whitehouse" TargetMode="External"/><Relationship Id="rId263" Type="http://schemas.openxmlformats.org/officeDocument/2006/relationships/hyperlink" Target="https://www.youtube.com/presidenciaec" TargetMode="External"/><Relationship Id="rId37" Type="http://schemas.openxmlformats.org/officeDocument/2006/relationships/hyperlink" Target="https://www.youtube.com/ugandamediacentre" TargetMode="External"/><Relationship Id="rId58" Type="http://schemas.openxmlformats.org/officeDocument/2006/relationships/hyperlink" Target="https://youtube.com/IstanaRakyat" TargetMode="External"/><Relationship Id="rId79" Type="http://schemas.openxmlformats.org/officeDocument/2006/relationships/hyperlink" Target="https://www.youtube.com/gebranbassil" TargetMode="External"/><Relationship Id="rId102" Type="http://schemas.openxmlformats.org/officeDocument/2006/relationships/hyperlink" Target="https://www.youtube.com/syrianpresidency" TargetMode="External"/><Relationship Id="rId123" Type="http://schemas.openxmlformats.org/officeDocument/2006/relationships/hyperlink" Target="https://www.youtube.com/valitsuseuudised" TargetMode="External"/><Relationship Id="rId144" Type="http://schemas.openxmlformats.org/officeDocument/2006/relationships/hyperlink" Target="https://www.youtube.com/kormanyhu" TargetMode="External"/><Relationship Id="rId90" Type="http://schemas.openxmlformats.org/officeDocument/2006/relationships/hyperlink" Target="https://youtube.com/govph" TargetMode="External"/><Relationship Id="rId165" Type="http://schemas.openxmlformats.org/officeDocument/2006/relationships/hyperlink" Target="https://www.youtube.com/MAEIERM" TargetMode="External"/><Relationship Id="rId186" Type="http://schemas.openxmlformats.org/officeDocument/2006/relationships/hyperlink" Target="https://youtube.com/pravitelstvoRF" TargetMode="External"/><Relationship Id="rId211" Type="http://schemas.openxmlformats.org/officeDocument/2006/relationships/hyperlink" Target="https://youtube.com/cabinetofficeuk" TargetMode="External"/><Relationship Id="rId232" Type="http://schemas.openxmlformats.org/officeDocument/2006/relationships/hyperlink" Target="https://youtube.com/PrimatureHT" TargetMode="External"/><Relationship Id="rId253" Type="http://schemas.openxmlformats.org/officeDocument/2006/relationships/hyperlink" Target="https://youtube.com/mauriciomacri" TargetMode="External"/><Relationship Id="rId274" Type="http://schemas.openxmlformats.org/officeDocument/2006/relationships/hyperlink" Target="https://www.youtube.com/maduromoros" TargetMode="External"/><Relationship Id="rId27" Type="http://schemas.openxmlformats.org/officeDocument/2006/relationships/hyperlink" Target="https://www.youtube.com/presidencesenegal" TargetMode="External"/><Relationship Id="rId48" Type="http://schemas.openxmlformats.org/officeDocument/2006/relationships/hyperlink" Target="https://www.youtube.com/egovbahrain" TargetMode="External"/><Relationship Id="rId69" Type="http://schemas.openxmlformats.org/officeDocument/2006/relationships/hyperlink" Target="https://www.youtube.com/royalhashemitecourt" TargetMode="External"/><Relationship Id="rId113" Type="http://schemas.openxmlformats.org/officeDocument/2006/relationships/hyperlink" Target="https://www.youtube.com/BelarusMFA" TargetMode="External"/><Relationship Id="rId134" Type="http://schemas.openxmlformats.org/officeDocument/2006/relationships/hyperlink" Target="https://www.youtube.com/francediplotv" TargetMode="External"/><Relationship Id="rId80" Type="http://schemas.openxmlformats.org/officeDocument/2006/relationships/hyperlink" Target="https://www.youtube.com/PejabatPM" TargetMode="External"/><Relationship Id="rId155" Type="http://schemas.openxmlformats.org/officeDocument/2006/relationships/hyperlink" Target="https://www.youtube.com/LatvianMFA" TargetMode="External"/><Relationship Id="rId176" Type="http://schemas.openxmlformats.org/officeDocument/2006/relationships/hyperlink" Target="https://www.youtube.com/PolandMFA" TargetMode="External"/><Relationship Id="rId197" Type="http://schemas.openxmlformats.org/officeDocument/2006/relationships/hyperlink" Target="https://youtube.com/marianorajoy" TargetMode="External"/><Relationship Id="rId201" Type="http://schemas.openxmlformats.org/officeDocument/2006/relationships/hyperlink" Target="https://www.youtube.com/kamudiplomasisi" TargetMode="External"/><Relationship Id="rId222" Type="http://schemas.openxmlformats.org/officeDocument/2006/relationships/hyperlink" Target="https://www.youtube.com/PresidenciaRDom" TargetMode="External"/><Relationship Id="rId243" Type="http://schemas.openxmlformats.org/officeDocument/2006/relationships/hyperlink" Target="https://www.youtube.com/statevideo" TargetMode="External"/><Relationship Id="rId264" Type="http://schemas.openxmlformats.org/officeDocument/2006/relationships/hyperlink" Target="https://www.youtube.com/RicardoPatinoA" TargetMode="External"/><Relationship Id="rId17" Type="http://schemas.openxmlformats.org/officeDocument/2006/relationships/hyperlink" Target="https://www.youtube.com/channel/UCVqArgjwmnTAyMgZ-xm6Lcw" TargetMode="External"/><Relationship Id="rId38" Type="http://schemas.openxmlformats.org/officeDocument/2006/relationships/hyperlink" Target="https://www.youtube.com/ARG1880" TargetMode="External"/><Relationship Id="rId59" Type="http://schemas.openxmlformats.org/officeDocument/2006/relationships/hyperlink" Target="https://youtube.com/jokowi" TargetMode="External"/><Relationship Id="rId103" Type="http://schemas.openxmlformats.org/officeDocument/2006/relationships/hyperlink" Target="https://youtube.com/ThaiKhuFah" TargetMode="External"/><Relationship Id="rId124" Type="http://schemas.openxmlformats.org/officeDocument/2006/relationships/hyperlink" Target="https://www.youtube.com/estonianmfa" TargetMode="External"/><Relationship Id="rId70" Type="http://schemas.openxmlformats.org/officeDocument/2006/relationships/hyperlink" Target="https://www.youtube.com/akordapress" TargetMode="External"/><Relationship Id="rId91" Type="http://schemas.openxmlformats.org/officeDocument/2006/relationships/hyperlink" Target="https://www.youtube.com/edp20111" TargetMode="External"/><Relationship Id="rId145" Type="http://schemas.openxmlformats.org/officeDocument/2006/relationships/hyperlink" Target="https://www.youtube.com/merrionstreet" TargetMode="External"/><Relationship Id="rId166" Type="http://schemas.openxmlformats.org/officeDocument/2006/relationships/hyperlink" Target="https://www.youtube.com/MeGovernment" TargetMode="External"/><Relationship Id="rId187" Type="http://schemas.openxmlformats.org/officeDocument/2006/relationships/hyperlink" Target="https://youtube.com/vucicaleksandar" TargetMode="External"/><Relationship Id="rId1" Type="http://schemas.openxmlformats.org/officeDocument/2006/relationships/hyperlink" Target="https://www.facebook.com/news.va.en" TargetMode="External"/><Relationship Id="rId212" Type="http://schemas.openxmlformats.org/officeDocument/2006/relationships/hyperlink" Target="https://www.youtube.com/vatican" TargetMode="External"/><Relationship Id="rId233" Type="http://schemas.openxmlformats.org/officeDocument/2006/relationships/hyperlink" Target="https://www.youtube.com/EnriquePenaNietoTV" TargetMode="External"/><Relationship Id="rId254" Type="http://schemas.openxmlformats.org/officeDocument/2006/relationships/hyperlink" Target="https://youtube.com/mincombolivia" TargetMode="External"/><Relationship Id="rId28" Type="http://schemas.openxmlformats.org/officeDocument/2006/relationships/hyperlink" Target="https://www.youtube.com/channel/UCyzZBEcM7_knHfLt2YE2dhg" TargetMode="External"/><Relationship Id="rId49" Type="http://schemas.openxmlformats.org/officeDocument/2006/relationships/hyperlink" Target="https://www.youtube.com/bahrainvideo" TargetMode="External"/><Relationship Id="rId114" Type="http://schemas.openxmlformats.org/officeDocument/2006/relationships/hyperlink" Target="https://youtube.com/heifi2010" TargetMode="External"/><Relationship Id="rId275" Type="http://schemas.openxmlformats.org/officeDocument/2006/relationships/hyperlink" Target="https://www.youtube.com/mpprevideos" TargetMode="External"/><Relationship Id="rId60" Type="http://schemas.openxmlformats.org/officeDocument/2006/relationships/hyperlink" Target="https://www.youtube.com/pmoiraqichannel" TargetMode="External"/><Relationship Id="rId81" Type="http://schemas.openxmlformats.org/officeDocument/2006/relationships/hyperlink" Target="https://www.youtube.com/NajibRazak" TargetMode="External"/><Relationship Id="rId135" Type="http://schemas.openxmlformats.org/officeDocument/2006/relationships/hyperlink" Target="https://youtube.com/fhollande" TargetMode="External"/><Relationship Id="rId156" Type="http://schemas.openxmlformats.org/officeDocument/2006/relationships/hyperlink" Target="https://youtube.com/PresesDienests" TargetMode="External"/><Relationship Id="rId177" Type="http://schemas.openxmlformats.org/officeDocument/2006/relationships/hyperlink" Target="https://youtube.com/AndrzejDuda" TargetMode="External"/><Relationship Id="rId198" Type="http://schemas.openxmlformats.org/officeDocument/2006/relationships/hyperlink" Target="https://www.youtube.com/TCDisisleri"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805"/>
  <sheetViews>
    <sheetView tabSelected="1" zoomScaleNormal="100" workbookViewId="0"/>
  </sheetViews>
  <sheetFormatPr defaultColWidth="17.1796875" defaultRowHeight="15.5" x14ac:dyDescent="0.35"/>
  <cols>
    <col min="1" max="4" width="15.54296875" style="11" customWidth="1"/>
    <col min="5" max="5" width="38.81640625" style="12" customWidth="1"/>
    <col min="6" max="6" width="29.453125" style="12" customWidth="1"/>
    <col min="7" max="12" width="13.7265625" style="12" customWidth="1"/>
    <col min="13" max="15" width="13.7265625" style="37" customWidth="1"/>
    <col min="16" max="22" width="13.7265625" style="12" customWidth="1"/>
  </cols>
  <sheetData>
    <row r="1" spans="1:59" x14ac:dyDescent="0.35">
      <c r="A1" s="310" t="s">
        <v>1202</v>
      </c>
      <c r="B1" s="281"/>
      <c r="C1" s="281"/>
      <c r="D1" s="282"/>
      <c r="E1" s="283"/>
      <c r="F1" s="283"/>
      <c r="G1" s="283"/>
      <c r="H1" s="283"/>
      <c r="I1" s="283"/>
      <c r="J1" s="283"/>
      <c r="K1" s="283"/>
      <c r="L1" s="283"/>
      <c r="M1" s="283"/>
      <c r="N1" s="283"/>
      <c r="O1" s="283"/>
      <c r="P1" s="283"/>
      <c r="Q1" s="283"/>
      <c r="R1" s="283"/>
      <c r="S1" s="283"/>
      <c r="T1" s="283"/>
      <c r="U1" s="283"/>
      <c r="V1" s="284"/>
    </row>
    <row r="2" spans="1:59" ht="16" thickBot="1" x14ac:dyDescent="0.4">
      <c r="A2" s="285" t="s">
        <v>0</v>
      </c>
      <c r="B2" s="286" t="s">
        <v>732</v>
      </c>
      <c r="C2" s="286" t="s">
        <v>733</v>
      </c>
      <c r="D2" s="286" t="s">
        <v>1</v>
      </c>
      <c r="E2" s="287" t="s">
        <v>734</v>
      </c>
      <c r="F2" s="287" t="s">
        <v>761</v>
      </c>
      <c r="G2" s="286" t="s">
        <v>849</v>
      </c>
      <c r="H2" s="287" t="s">
        <v>762</v>
      </c>
      <c r="I2" s="287" t="s">
        <v>763</v>
      </c>
      <c r="J2" s="287" t="s">
        <v>1066</v>
      </c>
      <c r="K2" s="287" t="s">
        <v>764</v>
      </c>
      <c r="L2" s="287" t="s">
        <v>765</v>
      </c>
      <c r="M2" s="287" t="s">
        <v>1198</v>
      </c>
      <c r="N2" s="287" t="s">
        <v>1199</v>
      </c>
      <c r="O2" s="287" t="s">
        <v>1200</v>
      </c>
      <c r="P2" s="287" t="s">
        <v>766</v>
      </c>
      <c r="Q2" s="287" t="s">
        <v>884</v>
      </c>
      <c r="R2" s="286" t="s">
        <v>739</v>
      </c>
      <c r="S2" s="286" t="s">
        <v>1096</v>
      </c>
      <c r="T2" s="286" t="s">
        <v>1097</v>
      </c>
      <c r="U2" s="286" t="s">
        <v>887</v>
      </c>
      <c r="V2" s="288" t="s">
        <v>737</v>
      </c>
    </row>
    <row r="3" spans="1:59" ht="14.5" x14ac:dyDescent="0.35">
      <c r="A3" s="275" t="s">
        <v>2</v>
      </c>
      <c r="B3" s="276" t="s">
        <v>3</v>
      </c>
      <c r="C3" s="276" t="s">
        <v>4</v>
      </c>
      <c r="D3" s="276" t="s">
        <v>5</v>
      </c>
      <c r="E3" s="277" t="s">
        <v>429</v>
      </c>
      <c r="F3" s="290" t="s">
        <v>595</v>
      </c>
      <c r="G3" s="278" t="s">
        <v>6</v>
      </c>
      <c r="H3" s="280">
        <v>36</v>
      </c>
      <c r="I3" s="280">
        <v>108012</v>
      </c>
      <c r="J3" s="280">
        <f>SUM(I3/H3)</f>
        <v>3000.3333333333335</v>
      </c>
      <c r="K3" s="280">
        <v>3084</v>
      </c>
      <c r="L3" s="280">
        <v>1588</v>
      </c>
      <c r="M3" s="279">
        <f>SUM(K3)/O3</f>
        <v>0.6601027397260274</v>
      </c>
      <c r="N3" s="279">
        <f>SUM(L3)/O3</f>
        <v>0.3398972602739726</v>
      </c>
      <c r="O3" s="280">
        <f>SUM(K3:L3)</f>
        <v>4672</v>
      </c>
      <c r="P3" s="292">
        <v>42</v>
      </c>
      <c r="Q3" s="280">
        <f t="shared" ref="Q3:Q66" si="0">SUM(O3,P3)</f>
        <v>4714</v>
      </c>
      <c r="R3" s="293" t="s">
        <v>740</v>
      </c>
      <c r="S3" s="294">
        <f>SUM(K3)/H3</f>
        <v>85.666666666666671</v>
      </c>
      <c r="T3" s="294">
        <f>SUM(L3)/H3</f>
        <v>44.111111111111114</v>
      </c>
      <c r="U3" s="295">
        <f>SUM(Q3)/(H3)</f>
        <v>130.94444444444446</v>
      </c>
      <c r="V3" s="296" t="s">
        <v>735</v>
      </c>
    </row>
    <row r="4" spans="1:59" ht="14.5" x14ac:dyDescent="0.35">
      <c r="A4" s="190" t="s">
        <v>2</v>
      </c>
      <c r="B4" s="191" t="s">
        <v>3</v>
      </c>
      <c r="C4" s="191" t="s">
        <v>7</v>
      </c>
      <c r="D4" s="191" t="s">
        <v>5</v>
      </c>
      <c r="E4" s="94" t="str">
        <f>HYPERLINK("https://youtube.com/abdelmaleksellal","https://youtube.com/abdelmaleksellal")</f>
        <v>https://youtube.com/abdelmaleksellal</v>
      </c>
      <c r="F4" s="249" t="s">
        <v>767</v>
      </c>
      <c r="G4" s="249" t="s">
        <v>12</v>
      </c>
      <c r="H4" s="265">
        <v>121</v>
      </c>
      <c r="I4" s="265">
        <v>285652</v>
      </c>
      <c r="J4" s="265">
        <f>SUM(I4/H4)</f>
        <v>2360.7603305785124</v>
      </c>
      <c r="K4" s="265">
        <v>442</v>
      </c>
      <c r="L4" s="265">
        <v>680</v>
      </c>
      <c r="M4" s="266">
        <f>SUM(K4)/O4</f>
        <v>0.39393939393939392</v>
      </c>
      <c r="N4" s="266">
        <f>SUM(L4)/O4</f>
        <v>0.60606060606060608</v>
      </c>
      <c r="O4" s="265">
        <f>SUM(K4:L4)</f>
        <v>1122</v>
      </c>
      <c r="P4" s="297">
        <v>132</v>
      </c>
      <c r="Q4" s="265">
        <f t="shared" si="0"/>
        <v>1254</v>
      </c>
      <c r="R4" s="269" t="s">
        <v>740</v>
      </c>
      <c r="S4" s="298">
        <f>SUM(K4)/H4</f>
        <v>3.6528925619834709</v>
      </c>
      <c r="T4" s="298">
        <f>SUM(L4)/H4</f>
        <v>5.6198347107438016</v>
      </c>
      <c r="U4" s="201">
        <f>SUM(Q4)/(H4)</f>
        <v>10.363636363636363</v>
      </c>
      <c r="V4" s="197" t="s">
        <v>736</v>
      </c>
    </row>
    <row r="5" spans="1:59" ht="14.5" x14ac:dyDescent="0.35">
      <c r="A5" s="196" t="s">
        <v>2</v>
      </c>
      <c r="B5" s="197" t="s">
        <v>8</v>
      </c>
      <c r="C5" s="197" t="s">
        <v>13</v>
      </c>
      <c r="D5" s="197" t="s">
        <v>10</v>
      </c>
      <c r="E5" s="203" t="s">
        <v>706</v>
      </c>
      <c r="F5" s="249" t="s">
        <v>799</v>
      </c>
      <c r="G5" s="249" t="s">
        <v>6</v>
      </c>
      <c r="H5" s="265">
        <v>1</v>
      </c>
      <c r="I5" s="265">
        <v>154</v>
      </c>
      <c r="J5" s="265">
        <f>SUM(I5/H5)</f>
        <v>154</v>
      </c>
      <c r="K5" s="265">
        <v>0</v>
      </c>
      <c r="L5" s="265">
        <v>0</v>
      </c>
      <c r="M5" s="265">
        <v>0</v>
      </c>
      <c r="N5" s="265">
        <v>0</v>
      </c>
      <c r="O5" s="265">
        <v>0</v>
      </c>
      <c r="P5" s="297">
        <v>0</v>
      </c>
      <c r="Q5" s="265">
        <f t="shared" si="0"/>
        <v>0</v>
      </c>
      <c r="R5" s="269">
        <v>5</v>
      </c>
      <c r="S5" s="298">
        <f>SUM(K5)/H5</f>
        <v>0</v>
      </c>
      <c r="T5" s="298">
        <f>SUM(L5)/H5</f>
        <v>0</v>
      </c>
      <c r="U5" s="201">
        <f>SUM(Q5)/(H5)</f>
        <v>0</v>
      </c>
      <c r="V5" s="200" t="s">
        <v>736</v>
      </c>
    </row>
    <row r="6" spans="1:59" ht="14.5" x14ac:dyDescent="0.35">
      <c r="A6" s="190" t="s">
        <v>2</v>
      </c>
      <c r="B6" s="191" t="s">
        <v>11</v>
      </c>
      <c r="C6" s="191" t="s">
        <v>4</v>
      </c>
      <c r="D6" s="191" t="s">
        <v>5</v>
      </c>
      <c r="E6" s="94" t="str">
        <f>HYPERLINK("https://youtube.com/yayiboni2011","https://youtube.com/yayiboni2011")</f>
        <v>https://youtube.com/yayiboni2011</v>
      </c>
      <c r="F6" s="249" t="s">
        <v>366</v>
      </c>
      <c r="G6" s="249" t="s">
        <v>12</v>
      </c>
      <c r="H6" s="265">
        <v>186</v>
      </c>
      <c r="I6" s="265">
        <v>163692</v>
      </c>
      <c r="J6" s="265">
        <f>SUM(I6/H6)</f>
        <v>880.06451612903231</v>
      </c>
      <c r="K6" s="265">
        <v>193</v>
      </c>
      <c r="L6" s="265">
        <v>93</v>
      </c>
      <c r="M6" s="266">
        <f>SUM(K6)/O6</f>
        <v>0.67482517482517479</v>
      </c>
      <c r="N6" s="266">
        <f>SUM(L6)/O6</f>
        <v>0.32517482517482516</v>
      </c>
      <c r="O6" s="265">
        <f>SUM(K6:L6)</f>
        <v>286</v>
      </c>
      <c r="P6" s="297">
        <v>78</v>
      </c>
      <c r="Q6" s="265">
        <f t="shared" si="0"/>
        <v>364</v>
      </c>
      <c r="R6" s="269">
        <v>432</v>
      </c>
      <c r="S6" s="298">
        <f>SUM(K6)/H6</f>
        <v>1.0376344086021505</v>
      </c>
      <c r="T6" s="298">
        <f>SUM(L6)/H6</f>
        <v>0.5</v>
      </c>
      <c r="U6" s="201">
        <f>SUM(Q6)/(H6)</f>
        <v>1.956989247311828</v>
      </c>
      <c r="V6" s="197" t="s">
        <v>736</v>
      </c>
    </row>
    <row r="7" spans="1:59" ht="14.5" x14ac:dyDescent="0.35">
      <c r="A7" s="190" t="s">
        <v>2</v>
      </c>
      <c r="B7" s="191" t="s">
        <v>11</v>
      </c>
      <c r="C7" s="191" t="s">
        <v>7</v>
      </c>
      <c r="D7" s="191" t="s">
        <v>5</v>
      </c>
      <c r="E7" s="95" t="s">
        <v>430</v>
      </c>
      <c r="F7" s="249" t="s">
        <v>597</v>
      </c>
      <c r="G7" s="249" t="s">
        <v>12</v>
      </c>
      <c r="H7" s="265">
        <v>56</v>
      </c>
      <c r="I7" s="265">
        <v>13182</v>
      </c>
      <c r="J7" s="265">
        <f>SUM(I7/H7)</f>
        <v>235.39285714285714</v>
      </c>
      <c r="K7" s="265">
        <v>65</v>
      </c>
      <c r="L7" s="265">
        <v>4</v>
      </c>
      <c r="M7" s="266">
        <f>SUM(K7)/O7</f>
        <v>0.94202898550724634</v>
      </c>
      <c r="N7" s="266">
        <f>SUM(L7)/O7</f>
        <v>5.7971014492753624E-2</v>
      </c>
      <c r="O7" s="265">
        <f>SUM(K7:L7)</f>
        <v>69</v>
      </c>
      <c r="P7" s="297">
        <v>3</v>
      </c>
      <c r="Q7" s="265">
        <f t="shared" si="0"/>
        <v>72</v>
      </c>
      <c r="R7" s="299">
        <v>125</v>
      </c>
      <c r="S7" s="298">
        <f>SUM(K7)/H7</f>
        <v>1.1607142857142858</v>
      </c>
      <c r="T7" s="298">
        <f>SUM(L7)/H7</f>
        <v>7.1428571428571425E-2</v>
      </c>
      <c r="U7" s="201">
        <f>SUM(Q7)/(H7)</f>
        <v>1.2857142857142858</v>
      </c>
      <c r="V7" s="200" t="s">
        <v>736</v>
      </c>
    </row>
    <row r="8" spans="1:59" ht="14.5" x14ac:dyDescent="0.35">
      <c r="A8" s="190" t="s">
        <v>2</v>
      </c>
      <c r="B8" s="191" t="s">
        <v>16</v>
      </c>
      <c r="C8" s="191" t="s">
        <v>4</v>
      </c>
      <c r="D8" s="191" t="s">
        <v>5</v>
      </c>
      <c r="E8" s="95" t="s">
        <v>431</v>
      </c>
      <c r="F8" s="249" t="s">
        <v>582</v>
      </c>
      <c r="G8" s="249" t="s">
        <v>738</v>
      </c>
      <c r="H8" s="300">
        <v>0</v>
      </c>
      <c r="I8" s="300">
        <v>0</v>
      </c>
      <c r="J8" s="265">
        <v>0</v>
      </c>
      <c r="K8" s="300">
        <v>0</v>
      </c>
      <c r="L8" s="300">
        <v>0</v>
      </c>
      <c r="M8" s="265">
        <v>0</v>
      </c>
      <c r="N8" s="265">
        <v>0</v>
      </c>
      <c r="O8" s="265">
        <v>0</v>
      </c>
      <c r="P8" s="301">
        <v>0</v>
      </c>
      <c r="Q8" s="265">
        <f t="shared" si="0"/>
        <v>0</v>
      </c>
      <c r="R8" s="299">
        <v>7</v>
      </c>
      <c r="S8" s="300">
        <v>0</v>
      </c>
      <c r="T8" s="300">
        <v>0</v>
      </c>
      <c r="U8" s="300">
        <v>0</v>
      </c>
      <c r="V8" s="200" t="s">
        <v>736</v>
      </c>
    </row>
    <row r="9" spans="1:59" ht="14.5" x14ac:dyDescent="0.35">
      <c r="A9" s="190" t="s">
        <v>2</v>
      </c>
      <c r="B9" s="191" t="s">
        <v>17</v>
      </c>
      <c r="C9" s="191" t="s">
        <v>4</v>
      </c>
      <c r="D9" s="191" t="s">
        <v>10</v>
      </c>
      <c r="E9" s="93" t="s">
        <v>432</v>
      </c>
      <c r="F9" s="249" t="s">
        <v>530</v>
      </c>
      <c r="G9" s="249" t="s">
        <v>12</v>
      </c>
      <c r="H9" s="265">
        <v>17</v>
      </c>
      <c r="I9" s="265">
        <v>36960</v>
      </c>
      <c r="J9" s="265">
        <f>SUM(I9/H9)</f>
        <v>2174.1176470588234</v>
      </c>
      <c r="K9" s="265">
        <v>74</v>
      </c>
      <c r="L9" s="265">
        <v>40</v>
      </c>
      <c r="M9" s="266">
        <f>SUM(K9)/O9</f>
        <v>0.64912280701754388</v>
      </c>
      <c r="N9" s="266">
        <f>SUM(L9)/O9</f>
        <v>0.35087719298245612</v>
      </c>
      <c r="O9" s="265">
        <f>SUM(K9:L9)</f>
        <v>114</v>
      </c>
      <c r="P9" s="297">
        <v>12</v>
      </c>
      <c r="Q9" s="265">
        <f t="shared" si="0"/>
        <v>126</v>
      </c>
      <c r="R9" s="270">
        <v>87</v>
      </c>
      <c r="S9" s="298">
        <f>SUM(K9)/H9</f>
        <v>4.3529411764705879</v>
      </c>
      <c r="T9" s="298">
        <f>SUM(L9)/H9</f>
        <v>2.3529411764705883</v>
      </c>
      <c r="U9" s="201">
        <f>SUM(Q9)/(H9)</f>
        <v>7.4117647058823533</v>
      </c>
      <c r="V9" s="200" t="s">
        <v>736</v>
      </c>
    </row>
    <row r="10" spans="1:59" ht="14.5" x14ac:dyDescent="0.35">
      <c r="A10" s="190" t="s">
        <v>2</v>
      </c>
      <c r="B10" s="191" t="s">
        <v>18</v>
      </c>
      <c r="C10" s="191" t="s">
        <v>4</v>
      </c>
      <c r="D10" s="191" t="s">
        <v>5</v>
      </c>
      <c r="E10" s="96" t="s">
        <v>727</v>
      </c>
      <c r="F10" s="249" t="s">
        <v>682</v>
      </c>
      <c r="G10" s="249" t="s">
        <v>12</v>
      </c>
      <c r="H10" s="265">
        <v>80</v>
      </c>
      <c r="I10" s="265">
        <v>326744</v>
      </c>
      <c r="J10" s="265">
        <f>SUM(I10/H10)</f>
        <v>4084.3</v>
      </c>
      <c r="K10" s="265">
        <v>435</v>
      </c>
      <c r="L10" s="265">
        <v>206</v>
      </c>
      <c r="M10" s="266">
        <f>SUM(K10)/O10</f>
        <v>0.67862714508580346</v>
      </c>
      <c r="N10" s="266">
        <f>SUM(L10)/O10</f>
        <v>0.32137285491419659</v>
      </c>
      <c r="O10" s="265">
        <f>SUM(K10:L10)</f>
        <v>641</v>
      </c>
      <c r="P10" s="297">
        <v>119</v>
      </c>
      <c r="Q10" s="265">
        <f t="shared" si="0"/>
        <v>760</v>
      </c>
      <c r="R10" s="269">
        <v>592</v>
      </c>
      <c r="S10" s="298">
        <f>SUM(K10)/H10</f>
        <v>5.4375</v>
      </c>
      <c r="T10" s="298">
        <f>SUM(L10)/H10</f>
        <v>2.5750000000000002</v>
      </c>
      <c r="U10" s="201">
        <f>SUM(Q10)/(H10)</f>
        <v>9.5</v>
      </c>
      <c r="V10" s="197" t="s">
        <v>736</v>
      </c>
    </row>
    <row r="11" spans="1:59" ht="14.5" x14ac:dyDescent="0.35">
      <c r="A11" s="254" t="s">
        <v>2</v>
      </c>
      <c r="B11" s="258" t="s">
        <v>19</v>
      </c>
      <c r="C11" s="197" t="s">
        <v>7</v>
      </c>
      <c r="D11" s="197" t="s">
        <v>5</v>
      </c>
      <c r="E11" s="97" t="s">
        <v>707</v>
      </c>
      <c r="F11" s="249" t="s">
        <v>792</v>
      </c>
      <c r="G11" s="249" t="s">
        <v>12</v>
      </c>
      <c r="H11" s="265">
        <v>225</v>
      </c>
      <c r="I11" s="265">
        <v>46365</v>
      </c>
      <c r="J11" s="265">
        <f>SUM(I11/H11)</f>
        <v>206.06666666666666</v>
      </c>
      <c r="K11" s="265">
        <v>180</v>
      </c>
      <c r="L11" s="265">
        <v>6</v>
      </c>
      <c r="M11" s="266">
        <f>SUM(K11)/O11</f>
        <v>0.967741935483871</v>
      </c>
      <c r="N11" s="266">
        <f>SUM(L11)/O11</f>
        <v>3.2258064516129031E-2</v>
      </c>
      <c r="O11" s="265">
        <f>SUM(K11:L11)</f>
        <v>186</v>
      </c>
      <c r="P11" s="297">
        <v>5</v>
      </c>
      <c r="Q11" s="265">
        <f t="shared" si="0"/>
        <v>191</v>
      </c>
      <c r="R11" s="271">
        <v>112</v>
      </c>
      <c r="S11" s="298">
        <f>SUM(K11)/H11</f>
        <v>0.8</v>
      </c>
      <c r="T11" s="298">
        <f>SUM(L11)/H11</f>
        <v>2.6666666666666668E-2</v>
      </c>
      <c r="U11" s="201">
        <f>SUM(Q11)/(H11)</f>
        <v>0.84888888888888892</v>
      </c>
      <c r="V11" s="200" t="s">
        <v>736</v>
      </c>
    </row>
    <row r="12" spans="1:59" ht="14.5" x14ac:dyDescent="0.35">
      <c r="A12" s="250" t="s">
        <v>2</v>
      </c>
      <c r="B12" s="191" t="s">
        <v>22</v>
      </c>
      <c r="C12" s="191" t="s">
        <v>4</v>
      </c>
      <c r="D12" s="191" t="s">
        <v>5</v>
      </c>
      <c r="E12" s="97" t="s">
        <v>789</v>
      </c>
      <c r="F12" s="249" t="s">
        <v>790</v>
      </c>
      <c r="G12" s="249" t="s">
        <v>738</v>
      </c>
      <c r="H12" s="300">
        <v>0</v>
      </c>
      <c r="I12" s="300">
        <v>0</v>
      </c>
      <c r="J12" s="265">
        <v>0</v>
      </c>
      <c r="K12" s="300">
        <v>0</v>
      </c>
      <c r="L12" s="300">
        <v>0</v>
      </c>
      <c r="M12" s="265">
        <v>0</v>
      </c>
      <c r="N12" s="265">
        <v>0</v>
      </c>
      <c r="O12" s="265">
        <v>0</v>
      </c>
      <c r="P12" s="301">
        <v>0</v>
      </c>
      <c r="Q12" s="265">
        <f t="shared" si="0"/>
        <v>0</v>
      </c>
      <c r="R12" s="271">
        <v>2</v>
      </c>
      <c r="S12" s="300">
        <v>0</v>
      </c>
      <c r="T12" s="300">
        <v>0</v>
      </c>
      <c r="U12" s="300">
        <v>0</v>
      </c>
      <c r="V12" s="200" t="s">
        <v>736</v>
      </c>
      <c r="AX12" s="32"/>
      <c r="AY12" s="32"/>
      <c r="AZ12" s="32"/>
      <c r="BA12" s="32"/>
      <c r="BB12" s="32"/>
      <c r="BC12" s="32"/>
      <c r="BD12" s="32"/>
      <c r="BE12" s="32"/>
      <c r="BF12" s="32"/>
      <c r="BG12" s="32"/>
    </row>
    <row r="13" spans="1:59" ht="14.5" x14ac:dyDescent="0.35">
      <c r="A13" s="251" t="s">
        <v>2</v>
      </c>
      <c r="B13" s="194" t="s">
        <v>23</v>
      </c>
      <c r="C13" s="252" t="s">
        <v>4</v>
      </c>
      <c r="D13" s="194" t="s">
        <v>5</v>
      </c>
      <c r="E13" s="95" t="s">
        <v>433</v>
      </c>
      <c r="F13" s="249" t="s">
        <v>591</v>
      </c>
      <c r="G13" s="249" t="s">
        <v>12</v>
      </c>
      <c r="H13" s="265">
        <v>5</v>
      </c>
      <c r="I13" s="265">
        <v>1676</v>
      </c>
      <c r="J13" s="265">
        <f t="shared" ref="J13:J44" si="1">SUM(I13/H13)</f>
        <v>335.2</v>
      </c>
      <c r="K13" s="265">
        <v>2</v>
      </c>
      <c r="L13" s="265">
        <v>1</v>
      </c>
      <c r="M13" s="266">
        <f t="shared" ref="M13:M19" si="2">SUM(K13)/O13</f>
        <v>0.66666666666666663</v>
      </c>
      <c r="N13" s="266">
        <f t="shared" ref="N13:N19" si="3">SUM(L13)/O13</f>
        <v>0.33333333333333331</v>
      </c>
      <c r="O13" s="265">
        <f t="shared" ref="O13:O19" si="4">SUM(K13:L13)</f>
        <v>3</v>
      </c>
      <c r="P13" s="297">
        <v>1</v>
      </c>
      <c r="Q13" s="265">
        <f t="shared" si="0"/>
        <v>4</v>
      </c>
      <c r="R13" s="299">
        <v>9</v>
      </c>
      <c r="S13" s="298">
        <f t="shared" ref="S13:S44" si="5">SUM(K13)/H13</f>
        <v>0.4</v>
      </c>
      <c r="T13" s="298">
        <f t="shared" ref="T13:T44" si="6">SUM(L13)/H13</f>
        <v>0.2</v>
      </c>
      <c r="U13" s="201">
        <f t="shared" ref="U13:U44" si="7">SUM(Q13)/(H13)</f>
        <v>0.8</v>
      </c>
      <c r="V13" s="200" t="s">
        <v>736</v>
      </c>
    </row>
    <row r="14" spans="1:59" ht="14.5" x14ac:dyDescent="0.35">
      <c r="A14" s="198" t="s">
        <v>2</v>
      </c>
      <c r="B14" s="191" t="s">
        <v>23</v>
      </c>
      <c r="C14" s="193" t="s">
        <v>13</v>
      </c>
      <c r="D14" s="193" t="s">
        <v>10</v>
      </c>
      <c r="E14" s="93" t="s">
        <v>24</v>
      </c>
      <c r="F14" s="249" t="s">
        <v>531</v>
      </c>
      <c r="G14" s="249" t="s">
        <v>12</v>
      </c>
      <c r="H14" s="265">
        <v>163</v>
      </c>
      <c r="I14" s="265">
        <v>94271</v>
      </c>
      <c r="J14" s="265">
        <f t="shared" si="1"/>
        <v>578.34969325153372</v>
      </c>
      <c r="K14" s="265">
        <v>167</v>
      </c>
      <c r="L14" s="265">
        <v>25</v>
      </c>
      <c r="M14" s="266">
        <f t="shared" si="2"/>
        <v>0.86979166666666663</v>
      </c>
      <c r="N14" s="266">
        <f t="shared" si="3"/>
        <v>0.13020833333333334</v>
      </c>
      <c r="O14" s="265">
        <f t="shared" si="4"/>
        <v>192</v>
      </c>
      <c r="P14" s="297">
        <v>62</v>
      </c>
      <c r="Q14" s="265">
        <f t="shared" si="0"/>
        <v>254</v>
      </c>
      <c r="R14" s="270">
        <v>276</v>
      </c>
      <c r="S14" s="298">
        <f t="shared" si="5"/>
        <v>1.0245398773006136</v>
      </c>
      <c r="T14" s="298">
        <f t="shared" si="6"/>
        <v>0.15337423312883436</v>
      </c>
      <c r="U14" s="201">
        <f t="shared" si="7"/>
        <v>1.5582822085889572</v>
      </c>
      <c r="V14" s="197" t="s">
        <v>736</v>
      </c>
    </row>
    <row r="15" spans="1:59" ht="14.5" x14ac:dyDescent="0.35">
      <c r="A15" s="198" t="s">
        <v>2</v>
      </c>
      <c r="B15" s="193" t="s">
        <v>26</v>
      </c>
      <c r="C15" s="191" t="s">
        <v>4</v>
      </c>
      <c r="D15" s="191" t="s">
        <v>5</v>
      </c>
      <c r="E15" s="93" t="s">
        <v>27</v>
      </c>
      <c r="F15" s="249" t="s">
        <v>750</v>
      </c>
      <c r="G15" s="249" t="s">
        <v>12</v>
      </c>
      <c r="H15" s="265">
        <v>63</v>
      </c>
      <c r="I15" s="265">
        <v>3421986</v>
      </c>
      <c r="J15" s="265">
        <f t="shared" si="1"/>
        <v>54317.238095238092</v>
      </c>
      <c r="K15" s="265">
        <v>29150</v>
      </c>
      <c r="L15" s="265">
        <v>4629</v>
      </c>
      <c r="M15" s="266">
        <f t="shared" si="2"/>
        <v>0.86296219544687525</v>
      </c>
      <c r="N15" s="266">
        <f t="shared" si="3"/>
        <v>0.13703780455312473</v>
      </c>
      <c r="O15" s="265">
        <f t="shared" si="4"/>
        <v>33779</v>
      </c>
      <c r="P15" s="297">
        <v>5796</v>
      </c>
      <c r="Q15" s="265">
        <f t="shared" si="0"/>
        <v>39575</v>
      </c>
      <c r="R15" s="270">
        <v>58032</v>
      </c>
      <c r="S15" s="298">
        <f t="shared" si="5"/>
        <v>462.69841269841271</v>
      </c>
      <c r="T15" s="298">
        <f t="shared" si="6"/>
        <v>73.476190476190482</v>
      </c>
      <c r="U15" s="201">
        <f t="shared" si="7"/>
        <v>628.17460317460313</v>
      </c>
      <c r="V15" s="200" t="s">
        <v>736</v>
      </c>
    </row>
    <row r="16" spans="1:59" ht="14.5" x14ac:dyDescent="0.35">
      <c r="A16" s="190" t="s">
        <v>2</v>
      </c>
      <c r="B16" s="191" t="s">
        <v>26</v>
      </c>
      <c r="C16" s="191" t="s">
        <v>13</v>
      </c>
      <c r="D16" s="191" t="s">
        <v>10</v>
      </c>
      <c r="E16" s="93" t="s">
        <v>28</v>
      </c>
      <c r="F16" s="249" t="s">
        <v>607</v>
      </c>
      <c r="G16" s="249" t="s">
        <v>12</v>
      </c>
      <c r="H16" s="265">
        <v>23</v>
      </c>
      <c r="I16" s="265">
        <v>51607</v>
      </c>
      <c r="J16" s="265">
        <f t="shared" si="1"/>
        <v>2243.782608695652</v>
      </c>
      <c r="K16" s="265">
        <v>76</v>
      </c>
      <c r="L16" s="265">
        <v>19</v>
      </c>
      <c r="M16" s="266">
        <f t="shared" si="2"/>
        <v>0.8</v>
      </c>
      <c r="N16" s="266">
        <f t="shared" si="3"/>
        <v>0.2</v>
      </c>
      <c r="O16" s="265">
        <f t="shared" si="4"/>
        <v>95</v>
      </c>
      <c r="P16" s="297">
        <v>9</v>
      </c>
      <c r="Q16" s="265">
        <f t="shared" si="0"/>
        <v>104</v>
      </c>
      <c r="R16" s="270">
        <v>1291</v>
      </c>
      <c r="S16" s="298">
        <f t="shared" si="5"/>
        <v>3.3043478260869565</v>
      </c>
      <c r="T16" s="298">
        <f t="shared" si="6"/>
        <v>0.82608695652173914</v>
      </c>
      <c r="U16" s="201">
        <f t="shared" si="7"/>
        <v>4.5217391304347823</v>
      </c>
      <c r="V16" s="200" t="s">
        <v>736</v>
      </c>
    </row>
    <row r="17" spans="1:59" ht="14.5" x14ac:dyDescent="0.35">
      <c r="A17" s="190" t="s">
        <v>2</v>
      </c>
      <c r="B17" s="191" t="s">
        <v>30</v>
      </c>
      <c r="C17" s="191" t="s">
        <v>14</v>
      </c>
      <c r="D17" s="191" t="s">
        <v>10</v>
      </c>
      <c r="E17" s="93" t="s">
        <v>31</v>
      </c>
      <c r="F17" s="249" t="s">
        <v>605</v>
      </c>
      <c r="G17" s="249" t="s">
        <v>6</v>
      </c>
      <c r="H17" s="265">
        <v>1</v>
      </c>
      <c r="I17" s="265">
        <v>2678</v>
      </c>
      <c r="J17" s="265">
        <f t="shared" si="1"/>
        <v>2678</v>
      </c>
      <c r="K17" s="265">
        <v>13</v>
      </c>
      <c r="L17" s="265">
        <v>0</v>
      </c>
      <c r="M17" s="266">
        <f t="shared" si="2"/>
        <v>1</v>
      </c>
      <c r="N17" s="266">
        <f t="shared" si="3"/>
        <v>0</v>
      </c>
      <c r="O17" s="265">
        <f t="shared" si="4"/>
        <v>13</v>
      </c>
      <c r="P17" s="297">
        <v>0</v>
      </c>
      <c r="Q17" s="265">
        <f t="shared" si="0"/>
        <v>13</v>
      </c>
      <c r="R17" s="270">
        <v>19</v>
      </c>
      <c r="S17" s="298">
        <f t="shared" si="5"/>
        <v>13</v>
      </c>
      <c r="T17" s="298">
        <f t="shared" si="6"/>
        <v>0</v>
      </c>
      <c r="U17" s="201">
        <f t="shared" si="7"/>
        <v>13</v>
      </c>
      <c r="V17" s="200" t="s">
        <v>736</v>
      </c>
    </row>
    <row r="18" spans="1:59" ht="14.5" x14ac:dyDescent="0.35">
      <c r="A18" s="198" t="s">
        <v>2</v>
      </c>
      <c r="B18" s="193" t="s">
        <v>32</v>
      </c>
      <c r="C18" s="191" t="s">
        <v>4</v>
      </c>
      <c r="D18" s="191" t="s">
        <v>5</v>
      </c>
      <c r="E18" s="98" t="s">
        <v>719</v>
      </c>
      <c r="F18" s="249" t="s">
        <v>769</v>
      </c>
      <c r="G18" s="249" t="s">
        <v>6</v>
      </c>
      <c r="H18" s="265">
        <v>27</v>
      </c>
      <c r="I18" s="265">
        <v>15825</v>
      </c>
      <c r="J18" s="265">
        <f t="shared" si="1"/>
        <v>586.11111111111109</v>
      </c>
      <c r="K18" s="265">
        <v>17</v>
      </c>
      <c r="L18" s="265">
        <v>21</v>
      </c>
      <c r="M18" s="266">
        <f t="shared" si="2"/>
        <v>0.44736842105263158</v>
      </c>
      <c r="N18" s="266">
        <f t="shared" si="3"/>
        <v>0.55263157894736847</v>
      </c>
      <c r="O18" s="265">
        <f t="shared" si="4"/>
        <v>38</v>
      </c>
      <c r="P18" s="297">
        <v>10</v>
      </c>
      <c r="Q18" s="265">
        <f t="shared" si="0"/>
        <v>48</v>
      </c>
      <c r="R18" s="299">
        <v>48</v>
      </c>
      <c r="S18" s="298">
        <f t="shared" si="5"/>
        <v>0.62962962962962965</v>
      </c>
      <c r="T18" s="298">
        <f t="shared" si="6"/>
        <v>0.77777777777777779</v>
      </c>
      <c r="U18" s="201">
        <f t="shared" si="7"/>
        <v>1.7777777777777777</v>
      </c>
      <c r="V18" s="200" t="s">
        <v>736</v>
      </c>
    </row>
    <row r="19" spans="1:59" ht="14.5" x14ac:dyDescent="0.35">
      <c r="A19" s="198" t="s">
        <v>2</v>
      </c>
      <c r="B19" s="193" t="s">
        <v>32</v>
      </c>
      <c r="C19" s="191" t="s">
        <v>9</v>
      </c>
      <c r="D19" s="191" t="s">
        <v>10</v>
      </c>
      <c r="E19" s="253" t="s">
        <v>728</v>
      </c>
      <c r="F19" s="249" t="s">
        <v>830</v>
      </c>
      <c r="G19" s="249" t="s">
        <v>12</v>
      </c>
      <c r="H19" s="265">
        <v>926</v>
      </c>
      <c r="I19" s="265">
        <v>459203</v>
      </c>
      <c r="J19" s="265">
        <f t="shared" si="1"/>
        <v>495.89956803455726</v>
      </c>
      <c r="K19" s="265">
        <v>631</v>
      </c>
      <c r="L19" s="265">
        <v>92</v>
      </c>
      <c r="M19" s="266">
        <f t="shared" si="2"/>
        <v>0.8727524204702628</v>
      </c>
      <c r="N19" s="266">
        <f t="shared" si="3"/>
        <v>0.1272475795297372</v>
      </c>
      <c r="O19" s="265">
        <f t="shared" si="4"/>
        <v>723</v>
      </c>
      <c r="P19" s="297">
        <v>95</v>
      </c>
      <c r="Q19" s="265">
        <f t="shared" si="0"/>
        <v>818</v>
      </c>
      <c r="R19" s="271">
        <v>714</v>
      </c>
      <c r="S19" s="298">
        <f t="shared" si="5"/>
        <v>0.68142548596112307</v>
      </c>
      <c r="T19" s="298">
        <f t="shared" si="6"/>
        <v>9.9352051835853133E-2</v>
      </c>
      <c r="U19" s="201">
        <f t="shared" si="7"/>
        <v>0.88336933045356369</v>
      </c>
      <c r="V19" s="197" t="s">
        <v>736</v>
      </c>
    </row>
    <row r="20" spans="1:59" ht="14.5" x14ac:dyDescent="0.35">
      <c r="A20" s="190" t="s">
        <v>2</v>
      </c>
      <c r="B20" s="191" t="s">
        <v>32</v>
      </c>
      <c r="C20" s="191" t="s">
        <v>13</v>
      </c>
      <c r="D20" s="191" t="s">
        <v>10</v>
      </c>
      <c r="E20" s="253" t="s">
        <v>708</v>
      </c>
      <c r="F20" s="249" t="s">
        <v>791</v>
      </c>
      <c r="G20" s="249" t="s">
        <v>6</v>
      </c>
      <c r="H20" s="265">
        <v>21</v>
      </c>
      <c r="I20" s="265">
        <v>358</v>
      </c>
      <c r="J20" s="265">
        <f t="shared" si="1"/>
        <v>17.047619047619047</v>
      </c>
      <c r="K20" s="265">
        <v>0</v>
      </c>
      <c r="L20" s="265">
        <v>0</v>
      </c>
      <c r="M20" s="265">
        <v>0</v>
      </c>
      <c r="N20" s="265">
        <v>0</v>
      </c>
      <c r="O20" s="265">
        <v>0</v>
      </c>
      <c r="P20" s="297">
        <v>0</v>
      </c>
      <c r="Q20" s="265">
        <f t="shared" si="0"/>
        <v>0</v>
      </c>
      <c r="R20" s="271">
        <v>8</v>
      </c>
      <c r="S20" s="298">
        <f t="shared" si="5"/>
        <v>0</v>
      </c>
      <c r="T20" s="298">
        <f t="shared" si="6"/>
        <v>0</v>
      </c>
      <c r="U20" s="201">
        <f t="shared" si="7"/>
        <v>0</v>
      </c>
      <c r="V20" s="200" t="s">
        <v>736</v>
      </c>
    </row>
    <row r="21" spans="1:59" ht="14.5" x14ac:dyDescent="0.35">
      <c r="A21" s="198" t="s">
        <v>2</v>
      </c>
      <c r="B21" s="191" t="s">
        <v>33</v>
      </c>
      <c r="C21" s="193" t="s">
        <v>4</v>
      </c>
      <c r="D21" s="191" t="s">
        <v>5</v>
      </c>
      <c r="E21" s="97" t="s">
        <v>730</v>
      </c>
      <c r="F21" s="249" t="s">
        <v>835</v>
      </c>
      <c r="G21" s="249" t="s">
        <v>12</v>
      </c>
      <c r="H21" s="265">
        <v>71</v>
      </c>
      <c r="I21" s="265">
        <v>704709</v>
      </c>
      <c r="J21" s="265">
        <f t="shared" si="1"/>
        <v>9925.4788732394372</v>
      </c>
      <c r="K21" s="265">
        <v>1372</v>
      </c>
      <c r="L21" s="265">
        <v>557</v>
      </c>
      <c r="M21" s="266">
        <f t="shared" ref="M21:M49" si="8">SUM(K21)/O21</f>
        <v>0.71124935199585282</v>
      </c>
      <c r="N21" s="266">
        <f t="shared" ref="N21:N49" si="9">SUM(L21)/O21</f>
        <v>0.28875064800414724</v>
      </c>
      <c r="O21" s="265">
        <f t="shared" ref="O21:O49" si="10">SUM(K21:L21)</f>
        <v>1929</v>
      </c>
      <c r="P21" s="297">
        <v>143</v>
      </c>
      <c r="Q21" s="265">
        <f t="shared" si="0"/>
        <v>2072</v>
      </c>
      <c r="R21" s="271">
        <v>1224</v>
      </c>
      <c r="S21" s="298">
        <f t="shared" si="5"/>
        <v>19.323943661971832</v>
      </c>
      <c r="T21" s="298">
        <f t="shared" si="6"/>
        <v>7.845070422535211</v>
      </c>
      <c r="U21" s="201">
        <f t="shared" si="7"/>
        <v>29.183098591549296</v>
      </c>
      <c r="V21" s="197" t="s">
        <v>736</v>
      </c>
    </row>
    <row r="22" spans="1:59" ht="14.5" x14ac:dyDescent="0.35">
      <c r="A22" s="190" t="s">
        <v>2</v>
      </c>
      <c r="B22" s="191" t="s">
        <v>34</v>
      </c>
      <c r="C22" s="191" t="s">
        <v>4</v>
      </c>
      <c r="D22" s="191" t="s">
        <v>5</v>
      </c>
      <c r="E22" s="93" t="s">
        <v>35</v>
      </c>
      <c r="F22" s="249" t="s">
        <v>606</v>
      </c>
      <c r="G22" s="249" t="s">
        <v>6</v>
      </c>
      <c r="H22" s="265">
        <v>35</v>
      </c>
      <c r="I22" s="265">
        <v>19897</v>
      </c>
      <c r="J22" s="265">
        <f t="shared" si="1"/>
        <v>568.48571428571427</v>
      </c>
      <c r="K22" s="265">
        <v>40</v>
      </c>
      <c r="L22" s="265">
        <v>7</v>
      </c>
      <c r="M22" s="266">
        <f t="shared" si="8"/>
        <v>0.85106382978723405</v>
      </c>
      <c r="N22" s="266">
        <f t="shared" si="9"/>
        <v>0.14893617021276595</v>
      </c>
      <c r="O22" s="265">
        <f t="shared" si="10"/>
        <v>47</v>
      </c>
      <c r="P22" s="297">
        <v>14</v>
      </c>
      <c r="Q22" s="265">
        <f t="shared" si="0"/>
        <v>61</v>
      </c>
      <c r="R22" s="270">
        <v>187</v>
      </c>
      <c r="S22" s="298">
        <f t="shared" si="5"/>
        <v>1.1428571428571428</v>
      </c>
      <c r="T22" s="298">
        <f t="shared" si="6"/>
        <v>0.2</v>
      </c>
      <c r="U22" s="201">
        <f t="shared" si="7"/>
        <v>1.7428571428571429</v>
      </c>
      <c r="V22" s="200" t="s">
        <v>736</v>
      </c>
    </row>
    <row r="23" spans="1:59" ht="14.5" x14ac:dyDescent="0.35">
      <c r="A23" s="190" t="s">
        <v>2</v>
      </c>
      <c r="B23" s="191" t="s">
        <v>34</v>
      </c>
      <c r="C23" s="191" t="s">
        <v>9</v>
      </c>
      <c r="D23" s="191" t="s">
        <v>10</v>
      </c>
      <c r="E23" s="94" t="str">
        <f>HYPERLINK("https://youtube.com/flagstaffhouse","https://youtube.com/flagstaffhouse")</f>
        <v>https://youtube.com/flagstaffhouse</v>
      </c>
      <c r="F23" s="249" t="s">
        <v>337</v>
      </c>
      <c r="G23" s="249" t="s">
        <v>12</v>
      </c>
      <c r="H23" s="265">
        <v>183</v>
      </c>
      <c r="I23" s="265">
        <v>496234</v>
      </c>
      <c r="J23" s="265">
        <f t="shared" si="1"/>
        <v>2711.6612021857923</v>
      </c>
      <c r="K23" s="265">
        <v>1469</v>
      </c>
      <c r="L23" s="265">
        <v>182</v>
      </c>
      <c r="M23" s="266">
        <f t="shared" si="8"/>
        <v>0.88976377952755903</v>
      </c>
      <c r="N23" s="266">
        <f t="shared" si="9"/>
        <v>0.11023622047244094</v>
      </c>
      <c r="O23" s="265">
        <f t="shared" si="10"/>
        <v>1651</v>
      </c>
      <c r="P23" s="297">
        <v>314</v>
      </c>
      <c r="Q23" s="265">
        <f t="shared" si="0"/>
        <v>1965</v>
      </c>
      <c r="R23" s="269">
        <v>1801</v>
      </c>
      <c r="S23" s="298">
        <f t="shared" si="5"/>
        <v>8.027322404371585</v>
      </c>
      <c r="T23" s="298">
        <f t="shared" si="6"/>
        <v>0.99453551912568305</v>
      </c>
      <c r="U23" s="201">
        <f t="shared" si="7"/>
        <v>10.737704918032787</v>
      </c>
      <c r="V23" s="200" t="s">
        <v>736</v>
      </c>
    </row>
    <row r="24" spans="1:59" ht="14.5" x14ac:dyDescent="0.35">
      <c r="A24" s="190" t="s">
        <v>2</v>
      </c>
      <c r="B24" s="191" t="s">
        <v>34</v>
      </c>
      <c r="C24" s="191" t="s">
        <v>9</v>
      </c>
      <c r="D24" s="191" t="s">
        <v>10</v>
      </c>
      <c r="E24" s="95" t="s">
        <v>434</v>
      </c>
      <c r="F24" s="249" t="s">
        <v>599</v>
      </c>
      <c r="G24" s="249" t="s">
        <v>12</v>
      </c>
      <c r="H24" s="265">
        <v>24</v>
      </c>
      <c r="I24" s="265">
        <v>251586</v>
      </c>
      <c r="J24" s="265">
        <f t="shared" si="1"/>
        <v>10482.75</v>
      </c>
      <c r="K24" s="265">
        <v>355</v>
      </c>
      <c r="L24" s="265">
        <v>95</v>
      </c>
      <c r="M24" s="266">
        <f t="shared" si="8"/>
        <v>0.78888888888888886</v>
      </c>
      <c r="N24" s="266">
        <f t="shared" si="9"/>
        <v>0.21111111111111111</v>
      </c>
      <c r="O24" s="265">
        <f t="shared" si="10"/>
        <v>450</v>
      </c>
      <c r="P24" s="297">
        <v>101</v>
      </c>
      <c r="Q24" s="265">
        <f t="shared" si="0"/>
        <v>551</v>
      </c>
      <c r="R24" s="299">
        <v>715</v>
      </c>
      <c r="S24" s="298">
        <f t="shared" si="5"/>
        <v>14.791666666666666</v>
      </c>
      <c r="T24" s="298">
        <f t="shared" si="6"/>
        <v>3.9583333333333335</v>
      </c>
      <c r="U24" s="201">
        <f t="shared" si="7"/>
        <v>22.958333333333332</v>
      </c>
      <c r="V24" s="200" t="s">
        <v>736</v>
      </c>
    </row>
    <row r="25" spans="1:59" ht="14.5" x14ac:dyDescent="0.35">
      <c r="A25" s="196" t="s">
        <v>2</v>
      </c>
      <c r="B25" s="197" t="s">
        <v>36</v>
      </c>
      <c r="C25" s="197" t="s">
        <v>4</v>
      </c>
      <c r="D25" s="197" t="s">
        <v>5</v>
      </c>
      <c r="E25" s="94" t="str">
        <f>HYPERLINK("https://youtube.com/channel/UCVqArgjwmnTAyMgZ-xm6Lcw","https://youtube.com/channel/UCVqArgjwmnTAyMgZ-xm6Lcw")</f>
        <v>https://youtube.com/channel/UCVqArgjwmnTAyMgZ-xm6Lcw</v>
      </c>
      <c r="F25" s="249" t="s">
        <v>342</v>
      </c>
      <c r="G25" s="249" t="s">
        <v>6</v>
      </c>
      <c r="H25" s="265">
        <v>13</v>
      </c>
      <c r="I25" s="265">
        <v>16772</v>
      </c>
      <c r="J25" s="265">
        <f t="shared" si="1"/>
        <v>1290.1538461538462</v>
      </c>
      <c r="K25" s="265">
        <v>26</v>
      </c>
      <c r="L25" s="265">
        <v>3</v>
      </c>
      <c r="M25" s="266">
        <f t="shared" si="8"/>
        <v>0.89655172413793105</v>
      </c>
      <c r="N25" s="266">
        <f t="shared" si="9"/>
        <v>0.10344827586206896</v>
      </c>
      <c r="O25" s="265">
        <f t="shared" si="10"/>
        <v>29</v>
      </c>
      <c r="P25" s="297">
        <v>3</v>
      </c>
      <c r="Q25" s="265">
        <f t="shared" si="0"/>
        <v>32</v>
      </c>
      <c r="R25" s="270">
        <v>90</v>
      </c>
      <c r="S25" s="298">
        <f t="shared" si="5"/>
        <v>2</v>
      </c>
      <c r="T25" s="298">
        <f t="shared" si="6"/>
        <v>0.23076923076923078</v>
      </c>
      <c r="U25" s="201">
        <f t="shared" si="7"/>
        <v>2.4615384615384617</v>
      </c>
      <c r="V25" s="200" t="s">
        <v>736</v>
      </c>
    </row>
    <row r="26" spans="1:59" ht="14.5" x14ac:dyDescent="0.35">
      <c r="A26" s="254" t="s">
        <v>2</v>
      </c>
      <c r="B26" s="197" t="s">
        <v>36</v>
      </c>
      <c r="C26" s="197" t="s">
        <v>13</v>
      </c>
      <c r="D26" s="197" t="s">
        <v>10</v>
      </c>
      <c r="E26" s="95" t="s">
        <v>435</v>
      </c>
      <c r="F26" s="249" t="s">
        <v>575</v>
      </c>
      <c r="G26" s="249" t="s">
        <v>12</v>
      </c>
      <c r="H26" s="265">
        <v>77</v>
      </c>
      <c r="I26" s="265">
        <v>18547</v>
      </c>
      <c r="J26" s="265">
        <f t="shared" si="1"/>
        <v>240.87012987012986</v>
      </c>
      <c r="K26" s="265">
        <v>89</v>
      </c>
      <c r="L26" s="265">
        <v>5</v>
      </c>
      <c r="M26" s="266">
        <f t="shared" si="8"/>
        <v>0.94680851063829785</v>
      </c>
      <c r="N26" s="266">
        <f t="shared" si="9"/>
        <v>5.3191489361702128E-2</v>
      </c>
      <c r="O26" s="265">
        <f t="shared" si="10"/>
        <v>94</v>
      </c>
      <c r="P26" s="297">
        <v>5</v>
      </c>
      <c r="Q26" s="265">
        <f t="shared" si="0"/>
        <v>99</v>
      </c>
      <c r="R26" s="271" t="s">
        <v>740</v>
      </c>
      <c r="S26" s="298">
        <f t="shared" si="5"/>
        <v>1.1558441558441559</v>
      </c>
      <c r="T26" s="298">
        <f t="shared" si="6"/>
        <v>6.4935064935064929E-2</v>
      </c>
      <c r="U26" s="201">
        <f t="shared" si="7"/>
        <v>1.2857142857142858</v>
      </c>
      <c r="V26" s="200" t="s">
        <v>736</v>
      </c>
    </row>
    <row r="27" spans="1:59" ht="14.5" x14ac:dyDescent="0.35">
      <c r="A27" s="190" t="s">
        <v>2</v>
      </c>
      <c r="B27" s="191" t="s">
        <v>38</v>
      </c>
      <c r="C27" s="191" t="s">
        <v>4</v>
      </c>
      <c r="D27" s="191" t="s">
        <v>5</v>
      </c>
      <c r="E27" s="95" t="s">
        <v>436</v>
      </c>
      <c r="F27" s="249" t="s">
        <v>794</v>
      </c>
      <c r="G27" s="249" t="s">
        <v>12</v>
      </c>
      <c r="H27" s="265">
        <v>45</v>
      </c>
      <c r="I27" s="265">
        <v>66623</v>
      </c>
      <c r="J27" s="265">
        <f t="shared" si="1"/>
        <v>1480.5111111111112</v>
      </c>
      <c r="K27" s="265">
        <v>327</v>
      </c>
      <c r="L27" s="265">
        <v>49</v>
      </c>
      <c r="M27" s="266">
        <f t="shared" si="8"/>
        <v>0.86968085106382975</v>
      </c>
      <c r="N27" s="266">
        <f t="shared" si="9"/>
        <v>0.13031914893617022</v>
      </c>
      <c r="O27" s="265">
        <f t="shared" si="10"/>
        <v>376</v>
      </c>
      <c r="P27" s="297">
        <v>18</v>
      </c>
      <c r="Q27" s="265">
        <f t="shared" si="0"/>
        <v>394</v>
      </c>
      <c r="R27" s="299">
        <v>254</v>
      </c>
      <c r="S27" s="298">
        <f t="shared" si="5"/>
        <v>7.2666666666666666</v>
      </c>
      <c r="T27" s="298">
        <f t="shared" si="6"/>
        <v>1.0888888888888888</v>
      </c>
      <c r="U27" s="201">
        <f t="shared" si="7"/>
        <v>8.7555555555555564</v>
      </c>
      <c r="V27" s="200" t="s">
        <v>736</v>
      </c>
    </row>
    <row r="28" spans="1:59" ht="14.5" x14ac:dyDescent="0.35">
      <c r="A28" s="190" t="s">
        <v>2</v>
      </c>
      <c r="B28" s="191" t="s">
        <v>38</v>
      </c>
      <c r="C28" s="191" t="s">
        <v>9</v>
      </c>
      <c r="D28" s="191" t="s">
        <v>10</v>
      </c>
      <c r="E28" s="93" t="s">
        <v>39</v>
      </c>
      <c r="F28" s="249" t="s">
        <v>604</v>
      </c>
      <c r="G28" s="249" t="s">
        <v>12</v>
      </c>
      <c r="H28" s="265">
        <v>143</v>
      </c>
      <c r="I28" s="265">
        <v>128545</v>
      </c>
      <c r="J28" s="265">
        <f t="shared" si="1"/>
        <v>898.91608391608395</v>
      </c>
      <c r="K28" s="265">
        <v>276</v>
      </c>
      <c r="L28" s="265">
        <v>50</v>
      </c>
      <c r="M28" s="266">
        <f t="shared" si="8"/>
        <v>0.84662576687116564</v>
      </c>
      <c r="N28" s="266">
        <f t="shared" si="9"/>
        <v>0.15337423312883436</v>
      </c>
      <c r="O28" s="265">
        <f t="shared" si="10"/>
        <v>326</v>
      </c>
      <c r="P28" s="297">
        <v>39</v>
      </c>
      <c r="Q28" s="265">
        <f t="shared" si="0"/>
        <v>365</v>
      </c>
      <c r="R28" s="270">
        <v>473</v>
      </c>
      <c r="S28" s="298">
        <f t="shared" si="5"/>
        <v>1.93006993006993</v>
      </c>
      <c r="T28" s="298">
        <f t="shared" si="6"/>
        <v>0.34965034965034963</v>
      </c>
      <c r="U28" s="201">
        <f t="shared" si="7"/>
        <v>2.5524475524475525</v>
      </c>
      <c r="V28" s="197" t="s">
        <v>736</v>
      </c>
    </row>
    <row r="29" spans="1:59" ht="14.5" x14ac:dyDescent="0.35">
      <c r="A29" s="190" t="s">
        <v>2</v>
      </c>
      <c r="B29" s="191" t="s">
        <v>38</v>
      </c>
      <c r="C29" s="191" t="s">
        <v>13</v>
      </c>
      <c r="D29" s="191" t="s">
        <v>10</v>
      </c>
      <c r="E29" s="94" t="str">
        <f>HYPERLINK("https://youtube.com/gouvcivideo","https://youtube.com/gouvcivideo")</f>
        <v>https://youtube.com/gouvcivideo</v>
      </c>
      <c r="F29" s="249" t="s">
        <v>353</v>
      </c>
      <c r="G29" s="249" t="s">
        <v>12</v>
      </c>
      <c r="H29" s="265">
        <v>3482</v>
      </c>
      <c r="I29" s="265">
        <v>509077</v>
      </c>
      <c r="J29" s="265">
        <f t="shared" si="1"/>
        <v>146.20246984491672</v>
      </c>
      <c r="K29" s="265">
        <v>689</v>
      </c>
      <c r="L29" s="265">
        <v>121</v>
      </c>
      <c r="M29" s="266">
        <f t="shared" si="8"/>
        <v>0.85061728395061731</v>
      </c>
      <c r="N29" s="266">
        <f t="shared" si="9"/>
        <v>0.14938271604938272</v>
      </c>
      <c r="O29" s="265">
        <f t="shared" si="10"/>
        <v>810</v>
      </c>
      <c r="P29" s="297">
        <v>100</v>
      </c>
      <c r="Q29" s="265">
        <f t="shared" si="0"/>
        <v>910</v>
      </c>
      <c r="R29" s="269">
        <v>937</v>
      </c>
      <c r="S29" s="298">
        <f t="shared" si="5"/>
        <v>0.19787478460654795</v>
      </c>
      <c r="T29" s="298">
        <f t="shared" si="6"/>
        <v>3.4750143595634692E-2</v>
      </c>
      <c r="U29" s="201">
        <f t="shared" si="7"/>
        <v>0.26134405514072373</v>
      </c>
      <c r="V29" s="200" t="s">
        <v>736</v>
      </c>
    </row>
    <row r="30" spans="1:59" s="32" customFormat="1" ht="14.5" x14ac:dyDescent="0.35">
      <c r="A30" s="190" t="s">
        <v>2</v>
      </c>
      <c r="B30" s="191" t="s">
        <v>40</v>
      </c>
      <c r="C30" s="191" t="s">
        <v>4</v>
      </c>
      <c r="D30" s="191" t="s">
        <v>5</v>
      </c>
      <c r="E30" s="94" t="str">
        <f>HYPERLINK("https://youtube.com/UhuruKenyattaTV","https://youtube.com/UhuruKenyattaTV")</f>
        <v>https://youtube.com/UhuruKenyattaTV</v>
      </c>
      <c r="F30" s="249" t="s">
        <v>333</v>
      </c>
      <c r="G30" s="249" t="s">
        <v>773</v>
      </c>
      <c r="H30" s="265">
        <v>155</v>
      </c>
      <c r="I30" s="265">
        <v>1912312</v>
      </c>
      <c r="J30" s="265">
        <f t="shared" si="1"/>
        <v>12337.496774193549</v>
      </c>
      <c r="K30" s="265">
        <v>5190</v>
      </c>
      <c r="L30" s="265">
        <v>442</v>
      </c>
      <c r="M30" s="266">
        <f t="shared" si="8"/>
        <v>0.92151988636363635</v>
      </c>
      <c r="N30" s="266">
        <f t="shared" si="9"/>
        <v>7.8480113636363633E-2</v>
      </c>
      <c r="O30" s="265">
        <f t="shared" si="10"/>
        <v>5632</v>
      </c>
      <c r="P30" s="297">
        <v>1331</v>
      </c>
      <c r="Q30" s="265">
        <f t="shared" si="0"/>
        <v>6963</v>
      </c>
      <c r="R30" s="269">
        <v>9521</v>
      </c>
      <c r="S30" s="298">
        <f t="shared" si="5"/>
        <v>33.483870967741936</v>
      </c>
      <c r="T30" s="298">
        <f t="shared" si="6"/>
        <v>2.8516129032258064</v>
      </c>
      <c r="U30" s="201">
        <f t="shared" si="7"/>
        <v>44.92258064516129</v>
      </c>
      <c r="V30" s="197" t="s">
        <v>736</v>
      </c>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row>
    <row r="31" spans="1:59" ht="14.5" x14ac:dyDescent="0.35">
      <c r="A31" s="255" t="s">
        <v>2</v>
      </c>
      <c r="B31" s="256" t="s">
        <v>43</v>
      </c>
      <c r="C31" s="257" t="s">
        <v>13</v>
      </c>
      <c r="D31" s="257" t="s">
        <v>10</v>
      </c>
      <c r="E31" s="97" t="s">
        <v>725</v>
      </c>
      <c r="F31" s="249" t="s">
        <v>822</v>
      </c>
      <c r="G31" s="249" t="s">
        <v>773</v>
      </c>
      <c r="H31" s="265">
        <v>493</v>
      </c>
      <c r="I31" s="265">
        <v>312956</v>
      </c>
      <c r="J31" s="265">
        <f t="shared" si="1"/>
        <v>634.79918864097363</v>
      </c>
      <c r="K31" s="265">
        <v>850</v>
      </c>
      <c r="L31" s="265">
        <v>167</v>
      </c>
      <c r="M31" s="266">
        <f t="shared" si="8"/>
        <v>0.83579154375614551</v>
      </c>
      <c r="N31" s="266">
        <f t="shared" si="9"/>
        <v>0.16420845624385447</v>
      </c>
      <c r="O31" s="265">
        <f t="shared" si="10"/>
        <v>1017</v>
      </c>
      <c r="P31" s="297">
        <v>227</v>
      </c>
      <c r="Q31" s="265">
        <f t="shared" si="0"/>
        <v>1244</v>
      </c>
      <c r="R31" s="271">
        <v>1225</v>
      </c>
      <c r="S31" s="298">
        <f t="shared" si="5"/>
        <v>1.7241379310344827</v>
      </c>
      <c r="T31" s="298">
        <f t="shared" si="6"/>
        <v>0.33874239350912777</v>
      </c>
      <c r="U31" s="201">
        <f t="shared" si="7"/>
        <v>2.5233265720081137</v>
      </c>
      <c r="V31" s="200" t="s">
        <v>736</v>
      </c>
    </row>
    <row r="32" spans="1:59" ht="14.5" x14ac:dyDescent="0.35">
      <c r="A32" s="196" t="s">
        <v>2</v>
      </c>
      <c r="B32" s="197" t="s">
        <v>44</v>
      </c>
      <c r="C32" s="197" t="s">
        <v>4</v>
      </c>
      <c r="D32" s="197" t="s">
        <v>5</v>
      </c>
      <c r="E32" s="97" t="s">
        <v>709</v>
      </c>
      <c r="F32" s="249" t="s">
        <v>780</v>
      </c>
      <c r="G32" s="249" t="s">
        <v>6</v>
      </c>
      <c r="H32" s="265">
        <v>6</v>
      </c>
      <c r="I32" s="265">
        <v>2167</v>
      </c>
      <c r="J32" s="265">
        <f t="shared" si="1"/>
        <v>361.16666666666669</v>
      </c>
      <c r="K32" s="265">
        <v>3</v>
      </c>
      <c r="L32" s="265">
        <v>1</v>
      </c>
      <c r="M32" s="266">
        <f t="shared" si="8"/>
        <v>0.75</v>
      </c>
      <c r="N32" s="266">
        <f t="shared" si="9"/>
        <v>0.25</v>
      </c>
      <c r="O32" s="265">
        <f t="shared" si="10"/>
        <v>4</v>
      </c>
      <c r="P32" s="297">
        <v>0</v>
      </c>
      <c r="Q32" s="265">
        <f t="shared" si="0"/>
        <v>4</v>
      </c>
      <c r="R32" s="271">
        <v>7</v>
      </c>
      <c r="S32" s="298">
        <f t="shared" si="5"/>
        <v>0.5</v>
      </c>
      <c r="T32" s="298">
        <f t="shared" si="6"/>
        <v>0.16666666666666666</v>
      </c>
      <c r="U32" s="201">
        <f t="shared" si="7"/>
        <v>0.66666666666666663</v>
      </c>
      <c r="V32" s="200" t="s">
        <v>736</v>
      </c>
    </row>
    <row r="33" spans="1:48" ht="14.5" x14ac:dyDescent="0.35">
      <c r="A33" s="196" t="s">
        <v>2</v>
      </c>
      <c r="B33" s="197" t="s">
        <v>44</v>
      </c>
      <c r="C33" s="197" t="s">
        <v>9</v>
      </c>
      <c r="D33" s="197" t="s">
        <v>10</v>
      </c>
      <c r="E33" s="253" t="s">
        <v>710</v>
      </c>
      <c r="F33" s="249" t="s">
        <v>801</v>
      </c>
      <c r="G33" s="249" t="s">
        <v>12</v>
      </c>
      <c r="H33" s="265">
        <v>32</v>
      </c>
      <c r="I33" s="265">
        <v>11329</v>
      </c>
      <c r="J33" s="265">
        <f t="shared" si="1"/>
        <v>354.03125</v>
      </c>
      <c r="K33" s="265">
        <v>35</v>
      </c>
      <c r="L33" s="265">
        <v>13</v>
      </c>
      <c r="M33" s="266">
        <f t="shared" si="8"/>
        <v>0.72916666666666663</v>
      </c>
      <c r="N33" s="266">
        <f t="shared" si="9"/>
        <v>0.27083333333333331</v>
      </c>
      <c r="O33" s="265">
        <f t="shared" si="10"/>
        <v>48</v>
      </c>
      <c r="P33" s="297">
        <v>6</v>
      </c>
      <c r="Q33" s="265">
        <f t="shared" si="0"/>
        <v>54</v>
      </c>
      <c r="R33" s="271">
        <v>79</v>
      </c>
      <c r="S33" s="298">
        <f t="shared" si="5"/>
        <v>1.09375</v>
      </c>
      <c r="T33" s="298">
        <f t="shared" si="6"/>
        <v>0.40625</v>
      </c>
      <c r="U33" s="201">
        <f t="shared" si="7"/>
        <v>1.6875</v>
      </c>
      <c r="V33" s="200" t="s">
        <v>736</v>
      </c>
    </row>
    <row r="34" spans="1:48" ht="14.5" x14ac:dyDescent="0.35">
      <c r="A34" s="196" t="s">
        <v>2</v>
      </c>
      <c r="B34" s="197" t="s">
        <v>45</v>
      </c>
      <c r="C34" s="197" t="s">
        <v>4</v>
      </c>
      <c r="D34" s="197" t="s">
        <v>5</v>
      </c>
      <c r="E34" s="98" t="s">
        <v>437</v>
      </c>
      <c r="F34" s="249" t="s">
        <v>487</v>
      </c>
      <c r="G34" s="249" t="s">
        <v>773</v>
      </c>
      <c r="H34" s="265">
        <v>4</v>
      </c>
      <c r="I34" s="265">
        <v>142</v>
      </c>
      <c r="J34" s="265">
        <f t="shared" si="1"/>
        <v>35.5</v>
      </c>
      <c r="K34" s="265">
        <v>1</v>
      </c>
      <c r="L34" s="265">
        <v>1</v>
      </c>
      <c r="M34" s="266">
        <f t="shared" si="8"/>
        <v>0.5</v>
      </c>
      <c r="N34" s="266">
        <f t="shared" si="9"/>
        <v>0.5</v>
      </c>
      <c r="O34" s="265">
        <f t="shared" si="10"/>
        <v>2</v>
      </c>
      <c r="P34" s="297">
        <v>0</v>
      </c>
      <c r="Q34" s="265">
        <f t="shared" si="0"/>
        <v>2</v>
      </c>
      <c r="R34" s="271">
        <v>6</v>
      </c>
      <c r="S34" s="298">
        <f t="shared" si="5"/>
        <v>0.25</v>
      </c>
      <c r="T34" s="298">
        <f t="shared" si="6"/>
        <v>0.25</v>
      </c>
      <c r="U34" s="201">
        <f t="shared" si="7"/>
        <v>0.5</v>
      </c>
      <c r="V34" s="200" t="s">
        <v>736</v>
      </c>
    </row>
    <row r="35" spans="1:48" ht="14.5" x14ac:dyDescent="0.35">
      <c r="A35" s="250" t="s">
        <v>2</v>
      </c>
      <c r="B35" s="191" t="s">
        <v>46</v>
      </c>
      <c r="C35" s="191" t="s">
        <v>13</v>
      </c>
      <c r="D35" s="191" t="s">
        <v>10</v>
      </c>
      <c r="E35" s="97" t="s">
        <v>711</v>
      </c>
      <c r="F35" s="249" t="s">
        <v>782</v>
      </c>
      <c r="G35" s="249" t="s">
        <v>6</v>
      </c>
      <c r="H35" s="265">
        <v>35</v>
      </c>
      <c r="I35" s="265">
        <v>10145</v>
      </c>
      <c r="J35" s="265">
        <f t="shared" si="1"/>
        <v>289.85714285714283</v>
      </c>
      <c r="K35" s="265">
        <v>74</v>
      </c>
      <c r="L35" s="265">
        <v>1</v>
      </c>
      <c r="M35" s="266">
        <f t="shared" si="8"/>
        <v>0.98666666666666669</v>
      </c>
      <c r="N35" s="266">
        <f t="shared" si="9"/>
        <v>1.3333333333333334E-2</v>
      </c>
      <c r="O35" s="265">
        <f t="shared" si="10"/>
        <v>75</v>
      </c>
      <c r="P35" s="297">
        <v>2</v>
      </c>
      <c r="Q35" s="265">
        <f t="shared" si="0"/>
        <v>77</v>
      </c>
      <c r="R35" s="271">
        <v>60</v>
      </c>
      <c r="S35" s="298">
        <f t="shared" si="5"/>
        <v>2.1142857142857143</v>
      </c>
      <c r="T35" s="298">
        <f t="shared" si="6"/>
        <v>2.8571428571428571E-2</v>
      </c>
      <c r="U35" s="201">
        <f t="shared" si="7"/>
        <v>2.2000000000000002</v>
      </c>
      <c r="V35" s="200" t="s">
        <v>736</v>
      </c>
    </row>
    <row r="36" spans="1:48" ht="14.5" x14ac:dyDescent="0.35">
      <c r="A36" s="196" t="s">
        <v>2</v>
      </c>
      <c r="B36" s="197" t="s">
        <v>48</v>
      </c>
      <c r="C36" s="202" t="s">
        <v>13</v>
      </c>
      <c r="D36" s="202" t="s">
        <v>10</v>
      </c>
      <c r="E36" s="94" t="str">
        <f>HYPERLINK("https://youtube.com/chefdugouvernement","https://youtube.com/chefdugouvernement")</f>
        <v>https://youtube.com/chefdugouvernement</v>
      </c>
      <c r="F36" s="249" t="s">
        <v>341</v>
      </c>
      <c r="G36" s="249" t="s">
        <v>12</v>
      </c>
      <c r="H36" s="265">
        <v>272</v>
      </c>
      <c r="I36" s="265">
        <v>2318805</v>
      </c>
      <c r="J36" s="265">
        <f t="shared" si="1"/>
        <v>8525.0183823529405</v>
      </c>
      <c r="K36" s="265">
        <v>76</v>
      </c>
      <c r="L36" s="265">
        <v>17</v>
      </c>
      <c r="M36" s="266">
        <f t="shared" si="8"/>
        <v>0.81720430107526887</v>
      </c>
      <c r="N36" s="266">
        <f t="shared" si="9"/>
        <v>0.18279569892473119</v>
      </c>
      <c r="O36" s="265">
        <f t="shared" si="10"/>
        <v>93</v>
      </c>
      <c r="P36" s="297">
        <v>38</v>
      </c>
      <c r="Q36" s="265">
        <f t="shared" si="0"/>
        <v>131</v>
      </c>
      <c r="R36" s="269">
        <v>13678</v>
      </c>
      <c r="S36" s="298">
        <f t="shared" si="5"/>
        <v>0.27941176470588236</v>
      </c>
      <c r="T36" s="298">
        <f t="shared" si="6"/>
        <v>6.25E-2</v>
      </c>
      <c r="U36" s="201">
        <f t="shared" si="7"/>
        <v>0.48161764705882354</v>
      </c>
      <c r="V36" s="200" t="s">
        <v>736</v>
      </c>
    </row>
    <row r="37" spans="1:48" ht="14.5" x14ac:dyDescent="0.35">
      <c r="A37" s="196" t="s">
        <v>2</v>
      </c>
      <c r="B37" s="197" t="s">
        <v>50</v>
      </c>
      <c r="C37" s="197" t="s">
        <v>4</v>
      </c>
      <c r="D37" s="197" t="s">
        <v>5</v>
      </c>
      <c r="E37" s="253" t="s">
        <v>712</v>
      </c>
      <c r="F37" s="249" t="s">
        <v>798</v>
      </c>
      <c r="G37" s="249" t="s">
        <v>6</v>
      </c>
      <c r="H37" s="265">
        <v>7</v>
      </c>
      <c r="I37" s="265">
        <v>17312</v>
      </c>
      <c r="J37" s="265">
        <f t="shared" si="1"/>
        <v>2473.1428571428573</v>
      </c>
      <c r="K37" s="265">
        <v>105</v>
      </c>
      <c r="L37" s="265">
        <v>3</v>
      </c>
      <c r="M37" s="266">
        <f t="shared" si="8"/>
        <v>0.97222222222222221</v>
      </c>
      <c r="N37" s="266">
        <f t="shared" si="9"/>
        <v>2.7777777777777776E-2</v>
      </c>
      <c r="O37" s="265">
        <f t="shared" si="10"/>
        <v>108</v>
      </c>
      <c r="P37" s="297">
        <v>11</v>
      </c>
      <c r="Q37" s="265">
        <f t="shared" si="0"/>
        <v>119</v>
      </c>
      <c r="R37" s="299">
        <v>156</v>
      </c>
      <c r="S37" s="298">
        <f t="shared" si="5"/>
        <v>15</v>
      </c>
      <c r="T37" s="298">
        <f t="shared" si="6"/>
        <v>0.42857142857142855</v>
      </c>
      <c r="U37" s="201">
        <f t="shared" si="7"/>
        <v>17</v>
      </c>
      <c r="V37" s="200" t="s">
        <v>736</v>
      </c>
    </row>
    <row r="38" spans="1:48" ht="14.5" x14ac:dyDescent="0.35">
      <c r="A38" s="190" t="s">
        <v>2</v>
      </c>
      <c r="B38" s="191" t="s">
        <v>51</v>
      </c>
      <c r="C38" s="191" t="s">
        <v>9</v>
      </c>
      <c r="D38" s="191" t="s">
        <v>10</v>
      </c>
      <c r="E38" s="94" t="str">
        <f>HYPERLINK("https://youtube.com/presidenceniger","https://youtube.com/presidenceniger")</f>
        <v>https://youtube.com/presidenceniger</v>
      </c>
      <c r="F38" s="249" t="s">
        <v>618</v>
      </c>
      <c r="G38" s="249" t="s">
        <v>6</v>
      </c>
      <c r="H38" s="265">
        <v>14</v>
      </c>
      <c r="I38" s="265">
        <v>9870</v>
      </c>
      <c r="J38" s="265">
        <f t="shared" si="1"/>
        <v>705</v>
      </c>
      <c r="K38" s="265">
        <v>33</v>
      </c>
      <c r="L38" s="265">
        <v>6</v>
      </c>
      <c r="M38" s="266">
        <f t="shared" si="8"/>
        <v>0.84615384615384615</v>
      </c>
      <c r="N38" s="266">
        <f t="shared" si="9"/>
        <v>0.15384615384615385</v>
      </c>
      <c r="O38" s="265">
        <f t="shared" si="10"/>
        <v>39</v>
      </c>
      <c r="P38" s="297">
        <v>2</v>
      </c>
      <c r="Q38" s="265">
        <f t="shared" si="0"/>
        <v>41</v>
      </c>
      <c r="R38" s="269">
        <v>48</v>
      </c>
      <c r="S38" s="298">
        <f t="shared" si="5"/>
        <v>2.3571428571428572</v>
      </c>
      <c r="T38" s="298">
        <f t="shared" si="6"/>
        <v>0.42857142857142855</v>
      </c>
      <c r="U38" s="201">
        <f t="shared" si="7"/>
        <v>2.9285714285714284</v>
      </c>
      <c r="V38" s="197" t="s">
        <v>736</v>
      </c>
    </row>
    <row r="39" spans="1:48" ht="14.5" x14ac:dyDescent="0.35">
      <c r="A39" s="190" t="s">
        <v>2</v>
      </c>
      <c r="B39" s="191" t="s">
        <v>52</v>
      </c>
      <c r="C39" s="191" t="s">
        <v>4</v>
      </c>
      <c r="D39" s="191" t="s">
        <v>5</v>
      </c>
      <c r="E39" s="253" t="s">
        <v>713</v>
      </c>
      <c r="F39" s="249" t="s">
        <v>793</v>
      </c>
      <c r="G39" s="249" t="s">
        <v>773</v>
      </c>
      <c r="H39" s="265">
        <v>23</v>
      </c>
      <c r="I39" s="265">
        <v>165072</v>
      </c>
      <c r="J39" s="265">
        <f t="shared" si="1"/>
        <v>7177.04347826087</v>
      </c>
      <c r="K39" s="265">
        <v>1931</v>
      </c>
      <c r="L39" s="265">
        <v>110</v>
      </c>
      <c r="M39" s="266">
        <f t="shared" si="8"/>
        <v>0.94610485056344928</v>
      </c>
      <c r="N39" s="266">
        <f t="shared" si="9"/>
        <v>5.3895149436550709E-2</v>
      </c>
      <c r="O39" s="265">
        <f t="shared" si="10"/>
        <v>2041</v>
      </c>
      <c r="P39" s="297">
        <v>169</v>
      </c>
      <c r="Q39" s="265">
        <f t="shared" si="0"/>
        <v>2210</v>
      </c>
      <c r="R39" s="271">
        <v>1587</v>
      </c>
      <c r="S39" s="298">
        <f t="shared" si="5"/>
        <v>83.956521739130437</v>
      </c>
      <c r="T39" s="298">
        <f t="shared" si="6"/>
        <v>4.7826086956521738</v>
      </c>
      <c r="U39" s="201">
        <f t="shared" si="7"/>
        <v>96.086956521739125</v>
      </c>
      <c r="V39" s="200" t="s">
        <v>736</v>
      </c>
    </row>
    <row r="40" spans="1:48" ht="14.5" x14ac:dyDescent="0.35">
      <c r="A40" s="190" t="s">
        <v>2</v>
      </c>
      <c r="B40" s="191" t="s">
        <v>53</v>
      </c>
      <c r="C40" s="191" t="s">
        <v>4</v>
      </c>
      <c r="D40" s="191" t="s">
        <v>5</v>
      </c>
      <c r="E40" s="94" t="str">
        <f>HYPERLINK("https://youtube.com/presidentkagame","https://youtube.com/presidentkagame")</f>
        <v>https://youtube.com/presidentkagame</v>
      </c>
      <c r="F40" s="249" t="s">
        <v>355</v>
      </c>
      <c r="G40" s="249" t="s">
        <v>12</v>
      </c>
      <c r="H40" s="265">
        <v>710</v>
      </c>
      <c r="I40" s="265">
        <v>3128805</v>
      </c>
      <c r="J40" s="265">
        <f t="shared" si="1"/>
        <v>4406.7676056338032</v>
      </c>
      <c r="K40" s="265">
        <v>8131</v>
      </c>
      <c r="L40" s="265">
        <v>1286</v>
      </c>
      <c r="M40" s="266">
        <f t="shared" si="8"/>
        <v>0.86343846235531485</v>
      </c>
      <c r="N40" s="266">
        <f t="shared" si="9"/>
        <v>0.13656153764468515</v>
      </c>
      <c r="O40" s="265">
        <f t="shared" si="10"/>
        <v>9417</v>
      </c>
      <c r="P40" s="297">
        <v>853</v>
      </c>
      <c r="Q40" s="265">
        <f t="shared" si="0"/>
        <v>10270</v>
      </c>
      <c r="R40" s="269">
        <v>7539</v>
      </c>
      <c r="S40" s="298">
        <f t="shared" si="5"/>
        <v>11.452112676056338</v>
      </c>
      <c r="T40" s="298">
        <f t="shared" si="6"/>
        <v>1.8112676056338028</v>
      </c>
      <c r="U40" s="201">
        <f t="shared" si="7"/>
        <v>14.464788732394366</v>
      </c>
      <c r="V40" s="197" t="s">
        <v>736</v>
      </c>
    </row>
    <row r="41" spans="1:48" ht="14.5" x14ac:dyDescent="0.35">
      <c r="A41" s="190" t="s">
        <v>2</v>
      </c>
      <c r="B41" s="191" t="s">
        <v>53</v>
      </c>
      <c r="C41" s="191" t="s">
        <v>13</v>
      </c>
      <c r="D41" s="191" t="s">
        <v>10</v>
      </c>
      <c r="E41" s="94" t="str">
        <f>HYPERLINK("https://youtube.com/RwandaGov","https://youtube.com/RwandaGov")</f>
        <v>https://youtube.com/RwandaGov</v>
      </c>
      <c r="F41" s="249" t="s">
        <v>54</v>
      </c>
      <c r="G41" s="249" t="s">
        <v>12</v>
      </c>
      <c r="H41" s="265">
        <v>58</v>
      </c>
      <c r="I41" s="265">
        <v>134121</v>
      </c>
      <c r="J41" s="265">
        <f t="shared" si="1"/>
        <v>2312.4310344827586</v>
      </c>
      <c r="K41" s="265">
        <v>306</v>
      </c>
      <c r="L41" s="265">
        <v>61</v>
      </c>
      <c r="M41" s="266">
        <f t="shared" si="8"/>
        <v>0.83378746594005448</v>
      </c>
      <c r="N41" s="266">
        <f t="shared" si="9"/>
        <v>0.16621253405994552</v>
      </c>
      <c r="O41" s="265">
        <f t="shared" si="10"/>
        <v>367</v>
      </c>
      <c r="P41" s="297">
        <v>13</v>
      </c>
      <c r="Q41" s="265">
        <f t="shared" si="0"/>
        <v>380</v>
      </c>
      <c r="R41" s="269">
        <v>480</v>
      </c>
      <c r="S41" s="298">
        <f t="shared" si="5"/>
        <v>5.2758620689655169</v>
      </c>
      <c r="T41" s="298">
        <f t="shared" si="6"/>
        <v>1.0517241379310345</v>
      </c>
      <c r="U41" s="201">
        <f t="shared" si="7"/>
        <v>6.5517241379310347</v>
      </c>
      <c r="V41" s="197" t="s">
        <v>736</v>
      </c>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row>
    <row r="42" spans="1:48" ht="14.5" x14ac:dyDescent="0.35">
      <c r="A42" s="190" t="s">
        <v>2</v>
      </c>
      <c r="B42" s="191" t="s">
        <v>53</v>
      </c>
      <c r="C42" s="191" t="s">
        <v>13</v>
      </c>
      <c r="D42" s="191" t="s">
        <v>10</v>
      </c>
      <c r="E42" s="94" t="str">
        <f>HYPERLINK("https://youtube.com/PrimatureRwanda","https://youtube.com/PrimatureRwanda")</f>
        <v>https://youtube.com/PrimatureRwanda</v>
      </c>
      <c r="F42" s="249" t="s">
        <v>349</v>
      </c>
      <c r="G42" s="249" t="s">
        <v>6</v>
      </c>
      <c r="H42" s="265">
        <v>4</v>
      </c>
      <c r="I42" s="265">
        <v>1957</v>
      </c>
      <c r="J42" s="265">
        <f t="shared" si="1"/>
        <v>489.25</v>
      </c>
      <c r="K42" s="265">
        <v>2</v>
      </c>
      <c r="L42" s="265">
        <v>3</v>
      </c>
      <c r="M42" s="266">
        <f t="shared" si="8"/>
        <v>0.4</v>
      </c>
      <c r="N42" s="266">
        <f t="shared" si="9"/>
        <v>0.6</v>
      </c>
      <c r="O42" s="265">
        <f t="shared" si="10"/>
        <v>5</v>
      </c>
      <c r="P42" s="297">
        <v>0</v>
      </c>
      <c r="Q42" s="265">
        <f t="shared" si="0"/>
        <v>5</v>
      </c>
      <c r="R42" s="269">
        <v>8</v>
      </c>
      <c r="S42" s="298">
        <f t="shared" si="5"/>
        <v>0.5</v>
      </c>
      <c r="T42" s="298">
        <f t="shared" si="6"/>
        <v>0.75</v>
      </c>
      <c r="U42" s="201">
        <f t="shared" si="7"/>
        <v>1.25</v>
      </c>
      <c r="V42" s="197" t="s">
        <v>736</v>
      </c>
    </row>
    <row r="43" spans="1:48" ht="14.5" x14ac:dyDescent="0.35">
      <c r="A43" s="255" t="s">
        <v>2</v>
      </c>
      <c r="B43" s="256" t="s">
        <v>56</v>
      </c>
      <c r="C43" s="256" t="s">
        <v>9</v>
      </c>
      <c r="D43" s="256" t="s">
        <v>10</v>
      </c>
      <c r="E43" s="94" t="str">
        <f>HYPERLINK("https://youtube.com/presidencesenegal","https://youtube.com/presidencesenegal")</f>
        <v>https://youtube.com/presidencesenegal</v>
      </c>
      <c r="F43" s="249" t="s">
        <v>610</v>
      </c>
      <c r="G43" s="249" t="s">
        <v>6</v>
      </c>
      <c r="H43" s="265">
        <v>7</v>
      </c>
      <c r="I43" s="265">
        <v>799</v>
      </c>
      <c r="J43" s="265">
        <f t="shared" si="1"/>
        <v>114.14285714285714</v>
      </c>
      <c r="K43" s="265">
        <v>4</v>
      </c>
      <c r="L43" s="265">
        <v>0</v>
      </c>
      <c r="M43" s="266">
        <f t="shared" si="8"/>
        <v>1</v>
      </c>
      <c r="N43" s="266">
        <f t="shared" si="9"/>
        <v>0</v>
      </c>
      <c r="O43" s="265">
        <f t="shared" si="10"/>
        <v>4</v>
      </c>
      <c r="P43" s="297">
        <v>1</v>
      </c>
      <c r="Q43" s="265">
        <f t="shared" si="0"/>
        <v>5</v>
      </c>
      <c r="R43" s="269">
        <v>109</v>
      </c>
      <c r="S43" s="298">
        <f t="shared" si="5"/>
        <v>0.5714285714285714</v>
      </c>
      <c r="T43" s="298">
        <f t="shared" si="6"/>
        <v>0</v>
      </c>
      <c r="U43" s="201">
        <f t="shared" si="7"/>
        <v>0.7142857142857143</v>
      </c>
      <c r="V43" s="197" t="s">
        <v>736</v>
      </c>
    </row>
    <row r="44" spans="1:48" ht="14.5" x14ac:dyDescent="0.35">
      <c r="A44" s="196" t="s">
        <v>2</v>
      </c>
      <c r="B44" s="197" t="s">
        <v>57</v>
      </c>
      <c r="C44" s="197" t="s">
        <v>9</v>
      </c>
      <c r="D44" s="197" t="s">
        <v>10</v>
      </c>
      <c r="E44" s="93" t="str">
        <f>HYPERLINK("https://youtube.com/channel/UCyzZBEcM7_knHfLt2YE2dhg","https://youtube.com/channel/UCyzZBEcM7_knHfLt2YE2dhg")</f>
        <v>https://youtube.com/channel/UCyzZBEcM7_knHfLt2YE2dhg</v>
      </c>
      <c r="F44" s="249" t="s">
        <v>356</v>
      </c>
      <c r="G44" s="249" t="s">
        <v>12</v>
      </c>
      <c r="H44" s="265">
        <v>38</v>
      </c>
      <c r="I44" s="265">
        <v>19880</v>
      </c>
      <c r="J44" s="265">
        <f t="shared" si="1"/>
        <v>523.15789473684208</v>
      </c>
      <c r="K44" s="265">
        <v>51</v>
      </c>
      <c r="L44" s="265">
        <v>12</v>
      </c>
      <c r="M44" s="266">
        <f t="shared" si="8"/>
        <v>0.80952380952380953</v>
      </c>
      <c r="N44" s="266">
        <f t="shared" si="9"/>
        <v>0.19047619047619047</v>
      </c>
      <c r="O44" s="265">
        <f t="shared" si="10"/>
        <v>63</v>
      </c>
      <c r="P44" s="297">
        <v>12</v>
      </c>
      <c r="Q44" s="265">
        <f t="shared" si="0"/>
        <v>75</v>
      </c>
      <c r="R44" s="269">
        <v>50</v>
      </c>
      <c r="S44" s="298">
        <f t="shared" si="5"/>
        <v>1.3421052631578947</v>
      </c>
      <c r="T44" s="298">
        <f t="shared" si="6"/>
        <v>0.31578947368421051</v>
      </c>
      <c r="U44" s="201">
        <f t="shared" si="7"/>
        <v>1.9736842105263157</v>
      </c>
      <c r="V44" s="200" t="s">
        <v>736</v>
      </c>
    </row>
    <row r="45" spans="1:48" ht="14.5" x14ac:dyDescent="0.35">
      <c r="A45" s="190" t="s">
        <v>2</v>
      </c>
      <c r="B45" s="191" t="s">
        <v>58</v>
      </c>
      <c r="C45" s="191" t="s">
        <v>4</v>
      </c>
      <c r="D45" s="191" t="s">
        <v>5</v>
      </c>
      <c r="E45" s="94" t="str">
        <f>HYPERLINK("https://youtube.com/channel/UCjxjky1VIZISVAgUxH302kw","https://youtube.com/channel/UCjxjky1VIZISVAgUxH302kw")</f>
        <v>https://youtube.com/channel/UCjxjky1VIZISVAgUxH302kw</v>
      </c>
      <c r="F45" s="249" t="s">
        <v>375</v>
      </c>
      <c r="G45" s="249" t="s">
        <v>6</v>
      </c>
      <c r="H45" s="265">
        <v>12</v>
      </c>
      <c r="I45" s="265">
        <v>4531</v>
      </c>
      <c r="J45" s="265">
        <f t="shared" ref="J45:J76" si="11">SUM(I45/H45)</f>
        <v>377.58333333333331</v>
      </c>
      <c r="K45" s="265">
        <v>12</v>
      </c>
      <c r="L45" s="265">
        <v>1</v>
      </c>
      <c r="M45" s="266">
        <f t="shared" si="8"/>
        <v>0.92307692307692313</v>
      </c>
      <c r="N45" s="266">
        <f t="shared" si="9"/>
        <v>7.6923076923076927E-2</v>
      </c>
      <c r="O45" s="265">
        <f t="shared" si="10"/>
        <v>13</v>
      </c>
      <c r="P45" s="297">
        <v>10</v>
      </c>
      <c r="Q45" s="265">
        <f t="shared" si="0"/>
        <v>23</v>
      </c>
      <c r="R45" s="269">
        <v>27</v>
      </c>
      <c r="S45" s="298">
        <f t="shared" ref="S45:S79" si="12">SUM(K45)/H45</f>
        <v>1</v>
      </c>
      <c r="T45" s="298">
        <f t="shared" ref="T45:T79" si="13">SUM(L45)/H45</f>
        <v>8.3333333333333329E-2</v>
      </c>
      <c r="U45" s="201">
        <f t="shared" ref="U45:U79" si="14">SUM(Q45)/(H45)</f>
        <v>1.9166666666666667</v>
      </c>
      <c r="V45" s="200" t="s">
        <v>736</v>
      </c>
    </row>
    <row r="46" spans="1:48" ht="14.5" x14ac:dyDescent="0.35">
      <c r="A46" s="190" t="s">
        <v>2</v>
      </c>
      <c r="B46" s="191" t="s">
        <v>60</v>
      </c>
      <c r="C46" s="191" t="s">
        <v>9</v>
      </c>
      <c r="D46" s="191" t="s">
        <v>10</v>
      </c>
      <c r="E46" s="94" t="str">
        <f>HYPERLINK("https://youtube.com/PresidencyZA","https://youtube.com/PresidencyZA")</f>
        <v>https://youtube.com/PresidencyZA</v>
      </c>
      <c r="F46" s="249" t="s">
        <v>61</v>
      </c>
      <c r="G46" s="249" t="s">
        <v>12</v>
      </c>
      <c r="H46" s="265">
        <v>811</v>
      </c>
      <c r="I46" s="265">
        <v>128502</v>
      </c>
      <c r="J46" s="265">
        <f t="shared" si="11"/>
        <v>158.44882860665845</v>
      </c>
      <c r="K46" s="265">
        <v>256</v>
      </c>
      <c r="L46" s="265">
        <v>81</v>
      </c>
      <c r="M46" s="266">
        <f t="shared" si="8"/>
        <v>0.75964391691394662</v>
      </c>
      <c r="N46" s="266">
        <f t="shared" si="9"/>
        <v>0.24035608308605341</v>
      </c>
      <c r="O46" s="265">
        <f t="shared" si="10"/>
        <v>337</v>
      </c>
      <c r="P46" s="297">
        <v>88</v>
      </c>
      <c r="Q46" s="265">
        <f t="shared" si="0"/>
        <v>425</v>
      </c>
      <c r="R46" s="269">
        <v>436</v>
      </c>
      <c r="S46" s="298">
        <f t="shared" si="12"/>
        <v>0.31565967940813811</v>
      </c>
      <c r="T46" s="298">
        <f t="shared" si="13"/>
        <v>9.98766954377312E-2</v>
      </c>
      <c r="U46" s="201">
        <f t="shared" si="14"/>
        <v>0.52404438964241673</v>
      </c>
      <c r="V46" s="197" t="s">
        <v>736</v>
      </c>
    </row>
    <row r="47" spans="1:48" ht="14.5" x14ac:dyDescent="0.35">
      <c r="A47" s="198" t="s">
        <v>2</v>
      </c>
      <c r="B47" s="193" t="s">
        <v>60</v>
      </c>
      <c r="C47" s="191" t="s">
        <v>13</v>
      </c>
      <c r="D47" s="193" t="s">
        <v>10</v>
      </c>
      <c r="E47" s="93" t="s">
        <v>62</v>
      </c>
      <c r="F47" s="249" t="s">
        <v>814</v>
      </c>
      <c r="G47" s="249" t="s">
        <v>12</v>
      </c>
      <c r="H47" s="265">
        <v>1208</v>
      </c>
      <c r="I47" s="265">
        <v>2651967</v>
      </c>
      <c r="J47" s="265">
        <f t="shared" si="11"/>
        <v>2195.3369205298013</v>
      </c>
      <c r="K47" s="265">
        <v>2422</v>
      </c>
      <c r="L47" s="265">
        <v>1137</v>
      </c>
      <c r="M47" s="266">
        <f t="shared" si="8"/>
        <v>0.68052823826917674</v>
      </c>
      <c r="N47" s="266">
        <f t="shared" si="9"/>
        <v>0.31947176173082326</v>
      </c>
      <c r="O47" s="265">
        <f t="shared" si="10"/>
        <v>3559</v>
      </c>
      <c r="P47" s="297">
        <v>677</v>
      </c>
      <c r="Q47" s="265">
        <f t="shared" si="0"/>
        <v>4236</v>
      </c>
      <c r="R47" s="270">
        <v>4732</v>
      </c>
      <c r="S47" s="298">
        <f t="shared" si="12"/>
        <v>2.0049668874172184</v>
      </c>
      <c r="T47" s="298">
        <f t="shared" si="13"/>
        <v>0.94122516556291391</v>
      </c>
      <c r="U47" s="201">
        <f t="shared" si="14"/>
        <v>3.5066225165562912</v>
      </c>
      <c r="V47" s="200" t="s">
        <v>736</v>
      </c>
    </row>
    <row r="48" spans="1:48" ht="14.5" x14ac:dyDescent="0.35">
      <c r="A48" s="255" t="s">
        <v>2</v>
      </c>
      <c r="B48" s="256" t="s">
        <v>60</v>
      </c>
      <c r="C48" s="256" t="s">
        <v>14</v>
      </c>
      <c r="D48" s="256" t="s">
        <v>10</v>
      </c>
      <c r="E48" s="259" t="s">
        <v>438</v>
      </c>
      <c r="F48" s="249" t="s">
        <v>547</v>
      </c>
      <c r="G48" s="249" t="s">
        <v>12</v>
      </c>
      <c r="H48" s="265">
        <v>91</v>
      </c>
      <c r="I48" s="265">
        <v>7662</v>
      </c>
      <c r="J48" s="265">
        <f t="shared" si="11"/>
        <v>84.197802197802204</v>
      </c>
      <c r="K48" s="265">
        <v>20</v>
      </c>
      <c r="L48" s="265">
        <v>2</v>
      </c>
      <c r="M48" s="266">
        <f t="shared" si="8"/>
        <v>0.90909090909090906</v>
      </c>
      <c r="N48" s="266">
        <f t="shared" si="9"/>
        <v>9.0909090909090912E-2</v>
      </c>
      <c r="O48" s="265">
        <f t="shared" si="10"/>
        <v>22</v>
      </c>
      <c r="P48" s="297">
        <v>3</v>
      </c>
      <c r="Q48" s="265">
        <f t="shared" si="0"/>
        <v>25</v>
      </c>
      <c r="R48" s="271">
        <v>111</v>
      </c>
      <c r="S48" s="298">
        <f t="shared" si="12"/>
        <v>0.21978021978021978</v>
      </c>
      <c r="T48" s="298">
        <f t="shared" si="13"/>
        <v>2.197802197802198E-2</v>
      </c>
      <c r="U48" s="201">
        <f t="shared" si="14"/>
        <v>0.27472527472527475</v>
      </c>
      <c r="V48" s="197" t="s">
        <v>736</v>
      </c>
    </row>
    <row r="49" spans="1:22" ht="14.5" x14ac:dyDescent="0.35">
      <c r="A49" s="190" t="s">
        <v>2</v>
      </c>
      <c r="B49" s="191" t="s">
        <v>65</v>
      </c>
      <c r="C49" s="191" t="s">
        <v>4</v>
      </c>
      <c r="D49" s="191" t="s">
        <v>5</v>
      </c>
      <c r="E49" s="253" t="s">
        <v>714</v>
      </c>
      <c r="F49" s="249" t="s">
        <v>784</v>
      </c>
      <c r="G49" s="249" t="s">
        <v>12</v>
      </c>
      <c r="H49" s="265">
        <v>213</v>
      </c>
      <c r="I49" s="265">
        <v>434455</v>
      </c>
      <c r="J49" s="265">
        <f t="shared" si="11"/>
        <v>2039.6948356807511</v>
      </c>
      <c r="K49" s="265">
        <v>1319</v>
      </c>
      <c r="L49" s="265">
        <v>166</v>
      </c>
      <c r="M49" s="266">
        <f t="shared" si="8"/>
        <v>0.88821548821548824</v>
      </c>
      <c r="N49" s="266">
        <f t="shared" si="9"/>
        <v>0.11178451178451178</v>
      </c>
      <c r="O49" s="265">
        <f t="shared" si="10"/>
        <v>1485</v>
      </c>
      <c r="P49" s="297">
        <v>140</v>
      </c>
      <c r="Q49" s="265">
        <f t="shared" si="0"/>
        <v>1625</v>
      </c>
      <c r="R49" s="271">
        <v>1711</v>
      </c>
      <c r="S49" s="298">
        <f t="shared" si="12"/>
        <v>6.192488262910798</v>
      </c>
      <c r="T49" s="298">
        <f t="shared" si="13"/>
        <v>0.77934272300469487</v>
      </c>
      <c r="U49" s="201">
        <f t="shared" si="14"/>
        <v>7.629107981220657</v>
      </c>
      <c r="V49" s="200" t="s">
        <v>736</v>
      </c>
    </row>
    <row r="50" spans="1:22" ht="14.5" x14ac:dyDescent="0.35">
      <c r="A50" s="250" t="s">
        <v>2</v>
      </c>
      <c r="B50" s="191" t="s">
        <v>66</v>
      </c>
      <c r="C50" s="191" t="s">
        <v>13</v>
      </c>
      <c r="D50" s="191" t="s">
        <v>10</v>
      </c>
      <c r="E50" s="93" t="s">
        <v>67</v>
      </c>
      <c r="F50" s="249" t="s">
        <v>603</v>
      </c>
      <c r="G50" s="249" t="s">
        <v>12</v>
      </c>
      <c r="H50" s="265">
        <v>367</v>
      </c>
      <c r="I50" s="265">
        <v>200746</v>
      </c>
      <c r="J50" s="265">
        <f t="shared" si="11"/>
        <v>546.99182561307907</v>
      </c>
      <c r="K50" s="265">
        <v>0</v>
      </c>
      <c r="L50" s="265">
        <v>0</v>
      </c>
      <c r="M50" s="265">
        <v>0</v>
      </c>
      <c r="N50" s="265">
        <v>0</v>
      </c>
      <c r="O50" s="265">
        <v>0</v>
      </c>
      <c r="P50" s="297">
        <v>0</v>
      </c>
      <c r="Q50" s="265">
        <f t="shared" si="0"/>
        <v>0</v>
      </c>
      <c r="R50" s="270">
        <v>606</v>
      </c>
      <c r="S50" s="298">
        <f t="shared" si="12"/>
        <v>0</v>
      </c>
      <c r="T50" s="298">
        <f t="shared" si="13"/>
        <v>0</v>
      </c>
      <c r="U50" s="201">
        <f t="shared" si="14"/>
        <v>0</v>
      </c>
      <c r="V50" s="197" t="s">
        <v>736</v>
      </c>
    </row>
    <row r="51" spans="1:22" ht="14.5" x14ac:dyDescent="0.35">
      <c r="A51" s="198" t="s">
        <v>2</v>
      </c>
      <c r="B51" s="193" t="s">
        <v>68</v>
      </c>
      <c r="C51" s="193" t="s">
        <v>4</v>
      </c>
      <c r="D51" s="191" t="s">
        <v>5</v>
      </c>
      <c r="E51" s="93" t="s">
        <v>69</v>
      </c>
      <c r="F51" s="249" t="s">
        <v>776</v>
      </c>
      <c r="G51" s="249" t="s">
        <v>6</v>
      </c>
      <c r="H51" s="265">
        <v>59</v>
      </c>
      <c r="I51" s="265">
        <v>99291</v>
      </c>
      <c r="J51" s="265">
        <f t="shared" si="11"/>
        <v>1682.8983050847457</v>
      </c>
      <c r="K51" s="265">
        <v>257</v>
      </c>
      <c r="L51" s="265">
        <v>112</v>
      </c>
      <c r="M51" s="266">
        <f t="shared" ref="M51:M62" si="15">SUM(K51)/O51</f>
        <v>0.69647696476964771</v>
      </c>
      <c r="N51" s="266">
        <f t="shared" ref="N51:N62" si="16">SUM(L51)/O51</f>
        <v>0.30352303523035229</v>
      </c>
      <c r="O51" s="265">
        <f t="shared" ref="O51:O62" si="17">SUM(K51:L51)</f>
        <v>369</v>
      </c>
      <c r="P51" s="297">
        <v>28</v>
      </c>
      <c r="Q51" s="265">
        <f t="shared" si="0"/>
        <v>397</v>
      </c>
      <c r="R51" s="270">
        <v>491</v>
      </c>
      <c r="S51" s="298">
        <f t="shared" si="12"/>
        <v>4.3559322033898304</v>
      </c>
      <c r="T51" s="298">
        <f t="shared" si="13"/>
        <v>1.8983050847457628</v>
      </c>
      <c r="U51" s="201">
        <f t="shared" si="14"/>
        <v>6.7288135593220337</v>
      </c>
      <c r="V51" s="200" t="s">
        <v>736</v>
      </c>
    </row>
    <row r="52" spans="1:22" ht="14.5" x14ac:dyDescent="0.35">
      <c r="A52" s="190" t="s">
        <v>2</v>
      </c>
      <c r="B52" s="191" t="s">
        <v>68</v>
      </c>
      <c r="C52" s="191" t="s">
        <v>9</v>
      </c>
      <c r="D52" s="191" t="s">
        <v>10</v>
      </c>
      <c r="E52" s="94" t="str">
        <f>HYPERLINK("https://youtube.com/presidenceTN","https://youtube.com/presidenceTN")</f>
        <v>https://youtube.com/presidenceTN</v>
      </c>
      <c r="F52" s="249" t="s">
        <v>383</v>
      </c>
      <c r="G52" s="249" t="s">
        <v>12</v>
      </c>
      <c r="H52" s="265">
        <v>1975</v>
      </c>
      <c r="I52" s="265">
        <v>3660973</v>
      </c>
      <c r="J52" s="265">
        <f t="shared" si="11"/>
        <v>1853.6572151898733</v>
      </c>
      <c r="K52" s="265">
        <v>9230</v>
      </c>
      <c r="L52" s="265">
        <v>1641</v>
      </c>
      <c r="M52" s="266">
        <f t="shared" si="15"/>
        <v>0.84904792567381104</v>
      </c>
      <c r="N52" s="266">
        <f t="shared" si="16"/>
        <v>0.15095207432618896</v>
      </c>
      <c r="O52" s="265">
        <f t="shared" si="17"/>
        <v>10871</v>
      </c>
      <c r="P52" s="297">
        <v>2042</v>
      </c>
      <c r="Q52" s="265">
        <f t="shared" si="0"/>
        <v>12913</v>
      </c>
      <c r="R52" s="269">
        <v>24</v>
      </c>
      <c r="S52" s="298">
        <f t="shared" si="12"/>
        <v>4.6734177215189874</v>
      </c>
      <c r="T52" s="298">
        <f t="shared" si="13"/>
        <v>0.83088607594936714</v>
      </c>
      <c r="U52" s="201">
        <f t="shared" si="14"/>
        <v>6.5382278481012657</v>
      </c>
      <c r="V52" s="200" t="s">
        <v>735</v>
      </c>
    </row>
    <row r="53" spans="1:22" ht="14.5" x14ac:dyDescent="0.35">
      <c r="A53" s="190" t="s">
        <v>2</v>
      </c>
      <c r="B53" s="191" t="s">
        <v>68</v>
      </c>
      <c r="C53" s="191" t="s">
        <v>14</v>
      </c>
      <c r="D53" s="191" t="s">
        <v>10</v>
      </c>
      <c r="E53" s="94" t="str">
        <f>HYPERLINK("https://youtube.com/maetunisie","https://youtube.com/maetunisie")</f>
        <v>https://youtube.com/maetunisie</v>
      </c>
      <c r="F53" s="249" t="s">
        <v>390</v>
      </c>
      <c r="G53" s="249" t="s">
        <v>6</v>
      </c>
      <c r="H53" s="265">
        <v>38</v>
      </c>
      <c r="I53" s="265">
        <v>12641</v>
      </c>
      <c r="J53" s="265">
        <f t="shared" si="11"/>
        <v>332.65789473684208</v>
      </c>
      <c r="K53" s="265">
        <v>5</v>
      </c>
      <c r="L53" s="265">
        <v>2</v>
      </c>
      <c r="M53" s="266">
        <f t="shared" si="15"/>
        <v>0.7142857142857143</v>
      </c>
      <c r="N53" s="266">
        <f t="shared" si="16"/>
        <v>0.2857142857142857</v>
      </c>
      <c r="O53" s="265">
        <f t="shared" si="17"/>
        <v>7</v>
      </c>
      <c r="P53" s="297">
        <v>0</v>
      </c>
      <c r="Q53" s="265">
        <f t="shared" si="0"/>
        <v>7</v>
      </c>
      <c r="R53" s="269">
        <v>63</v>
      </c>
      <c r="S53" s="298">
        <f t="shared" si="12"/>
        <v>0.13157894736842105</v>
      </c>
      <c r="T53" s="298">
        <f t="shared" si="13"/>
        <v>5.2631578947368418E-2</v>
      </c>
      <c r="U53" s="201">
        <f t="shared" si="14"/>
        <v>0.18421052631578946</v>
      </c>
      <c r="V53" s="200" t="s">
        <v>736</v>
      </c>
    </row>
    <row r="54" spans="1:22" ht="14.5" x14ac:dyDescent="0.35">
      <c r="A54" s="190" t="s">
        <v>2</v>
      </c>
      <c r="B54" s="191" t="s">
        <v>70</v>
      </c>
      <c r="C54" s="191" t="s">
        <v>4</v>
      </c>
      <c r="D54" s="191" t="s">
        <v>5</v>
      </c>
      <c r="E54" s="259" t="s">
        <v>439</v>
      </c>
      <c r="F54" s="249" t="s">
        <v>532</v>
      </c>
      <c r="G54" s="249" t="s">
        <v>12</v>
      </c>
      <c r="H54" s="265">
        <v>42</v>
      </c>
      <c r="I54" s="265">
        <v>37046</v>
      </c>
      <c r="J54" s="265">
        <f t="shared" si="11"/>
        <v>882.04761904761904</v>
      </c>
      <c r="K54" s="265">
        <v>234</v>
      </c>
      <c r="L54" s="265">
        <v>37</v>
      </c>
      <c r="M54" s="266">
        <f t="shared" si="15"/>
        <v>0.86346863468634683</v>
      </c>
      <c r="N54" s="266">
        <f t="shared" si="16"/>
        <v>0.13653136531365315</v>
      </c>
      <c r="O54" s="265">
        <f t="shared" si="17"/>
        <v>271</v>
      </c>
      <c r="P54" s="297">
        <v>19</v>
      </c>
      <c r="Q54" s="265">
        <f t="shared" si="0"/>
        <v>290</v>
      </c>
      <c r="R54" s="271">
        <v>301</v>
      </c>
      <c r="S54" s="298">
        <f t="shared" si="12"/>
        <v>5.5714285714285712</v>
      </c>
      <c r="T54" s="298">
        <f t="shared" si="13"/>
        <v>0.88095238095238093</v>
      </c>
      <c r="U54" s="201">
        <f t="shared" si="14"/>
        <v>6.9047619047619051</v>
      </c>
      <c r="V54" s="200" t="s">
        <v>736</v>
      </c>
    </row>
    <row r="55" spans="1:22" ht="14.5" x14ac:dyDescent="0.35">
      <c r="A55" s="190" t="s">
        <v>2</v>
      </c>
      <c r="B55" s="191" t="s">
        <v>70</v>
      </c>
      <c r="C55" s="191" t="s">
        <v>9</v>
      </c>
      <c r="D55" s="191" t="s">
        <v>10</v>
      </c>
      <c r="E55" s="94" t="str">
        <f>HYPERLINK("https://youtube.com/statehouseug","https://youtube.com/statehouseug")</f>
        <v>https://youtube.com/statehouseug</v>
      </c>
      <c r="F55" s="249" t="s">
        <v>71</v>
      </c>
      <c r="G55" s="249" t="s">
        <v>6</v>
      </c>
      <c r="H55" s="265">
        <v>15</v>
      </c>
      <c r="I55" s="265">
        <v>7466</v>
      </c>
      <c r="J55" s="265">
        <f t="shared" si="11"/>
        <v>497.73333333333335</v>
      </c>
      <c r="K55" s="265">
        <v>24</v>
      </c>
      <c r="L55" s="265">
        <v>4</v>
      </c>
      <c r="M55" s="266">
        <f t="shared" si="15"/>
        <v>0.8571428571428571</v>
      </c>
      <c r="N55" s="266">
        <f t="shared" si="16"/>
        <v>0.14285714285714285</v>
      </c>
      <c r="O55" s="265">
        <f t="shared" si="17"/>
        <v>28</v>
      </c>
      <c r="P55" s="297">
        <v>14</v>
      </c>
      <c r="Q55" s="265">
        <f t="shared" si="0"/>
        <v>42</v>
      </c>
      <c r="R55" s="269">
        <v>99</v>
      </c>
      <c r="S55" s="298">
        <f t="shared" si="12"/>
        <v>1.6</v>
      </c>
      <c r="T55" s="298">
        <f t="shared" si="13"/>
        <v>0.26666666666666666</v>
      </c>
      <c r="U55" s="201">
        <f t="shared" si="14"/>
        <v>2.8</v>
      </c>
      <c r="V55" s="197" t="s">
        <v>736</v>
      </c>
    </row>
    <row r="56" spans="1:22" ht="14.5" x14ac:dyDescent="0.35">
      <c r="A56" s="198" t="s">
        <v>2</v>
      </c>
      <c r="B56" s="193" t="s">
        <v>70</v>
      </c>
      <c r="C56" s="193" t="s">
        <v>13</v>
      </c>
      <c r="D56" s="193" t="s">
        <v>10</v>
      </c>
      <c r="E56" s="94" t="str">
        <f>HYPERLINK("https://youtube.com/ugandamediacentre","https://youtube.com/ugandamediacentre")</f>
        <v>https://youtube.com/ugandamediacentre</v>
      </c>
      <c r="F56" s="249" t="s">
        <v>339</v>
      </c>
      <c r="G56" s="249" t="s">
        <v>6</v>
      </c>
      <c r="H56" s="265">
        <v>121</v>
      </c>
      <c r="I56" s="265">
        <v>21076</v>
      </c>
      <c r="J56" s="265">
        <f t="shared" si="11"/>
        <v>174.18181818181819</v>
      </c>
      <c r="K56" s="265">
        <v>46</v>
      </c>
      <c r="L56" s="265">
        <v>3</v>
      </c>
      <c r="M56" s="266">
        <f t="shared" si="15"/>
        <v>0.93877551020408168</v>
      </c>
      <c r="N56" s="266">
        <f t="shared" si="16"/>
        <v>6.1224489795918366E-2</v>
      </c>
      <c r="O56" s="265">
        <f t="shared" si="17"/>
        <v>49</v>
      </c>
      <c r="P56" s="297">
        <v>6</v>
      </c>
      <c r="Q56" s="265">
        <f t="shared" si="0"/>
        <v>55</v>
      </c>
      <c r="R56" s="269">
        <v>43</v>
      </c>
      <c r="S56" s="298">
        <f t="shared" si="12"/>
        <v>0.38016528925619836</v>
      </c>
      <c r="T56" s="298">
        <f t="shared" si="13"/>
        <v>2.4793388429752067E-2</v>
      </c>
      <c r="U56" s="201">
        <f t="shared" si="14"/>
        <v>0.45454545454545453</v>
      </c>
      <c r="V56" s="197" t="s">
        <v>736</v>
      </c>
    </row>
    <row r="57" spans="1:22" ht="14.5" x14ac:dyDescent="0.35">
      <c r="A57" s="190" t="s">
        <v>73</v>
      </c>
      <c r="B57" s="191" t="s">
        <v>74</v>
      </c>
      <c r="C57" s="191" t="s">
        <v>4</v>
      </c>
      <c r="D57" s="191" t="s">
        <v>10</v>
      </c>
      <c r="E57" s="93" t="s">
        <v>75</v>
      </c>
      <c r="F57" s="249" t="s">
        <v>602</v>
      </c>
      <c r="G57" s="249" t="s">
        <v>6</v>
      </c>
      <c r="H57" s="265">
        <v>44</v>
      </c>
      <c r="I57" s="265">
        <v>47644</v>
      </c>
      <c r="J57" s="265">
        <f t="shared" si="11"/>
        <v>1082.8181818181818</v>
      </c>
      <c r="K57" s="265">
        <v>116</v>
      </c>
      <c r="L57" s="265">
        <v>21</v>
      </c>
      <c r="M57" s="266">
        <f t="shared" si="15"/>
        <v>0.84671532846715325</v>
      </c>
      <c r="N57" s="266">
        <f t="shared" si="16"/>
        <v>0.15328467153284672</v>
      </c>
      <c r="O57" s="265">
        <f t="shared" si="17"/>
        <v>137</v>
      </c>
      <c r="P57" s="297">
        <v>83</v>
      </c>
      <c r="Q57" s="265">
        <f t="shared" si="0"/>
        <v>220</v>
      </c>
      <c r="R57" s="270">
        <v>90</v>
      </c>
      <c r="S57" s="298">
        <f t="shared" si="12"/>
        <v>2.6363636363636362</v>
      </c>
      <c r="T57" s="298">
        <f t="shared" si="13"/>
        <v>0.47727272727272729</v>
      </c>
      <c r="U57" s="201">
        <f t="shared" si="14"/>
        <v>5</v>
      </c>
      <c r="V57" s="200" t="s">
        <v>736</v>
      </c>
    </row>
    <row r="58" spans="1:22" ht="14.5" x14ac:dyDescent="0.35">
      <c r="A58" s="190" t="s">
        <v>73</v>
      </c>
      <c r="B58" s="191" t="s">
        <v>74</v>
      </c>
      <c r="C58" s="191" t="s">
        <v>9</v>
      </c>
      <c r="D58" s="191" t="s">
        <v>10</v>
      </c>
      <c r="E58" s="94" t="str">
        <f>HYPERLINK("https://youtube.com/ARG1880","https://youtube.com/ARG1880")</f>
        <v>https://youtube.com/ARG1880</v>
      </c>
      <c r="F58" s="249" t="s">
        <v>76</v>
      </c>
      <c r="G58" s="249" t="s">
        <v>12</v>
      </c>
      <c r="H58" s="265">
        <v>1289</v>
      </c>
      <c r="I58" s="265">
        <v>3444934</v>
      </c>
      <c r="J58" s="265">
        <f t="shared" si="11"/>
        <v>2672.5632273079905</v>
      </c>
      <c r="K58" s="265">
        <v>12443</v>
      </c>
      <c r="L58" s="265">
        <v>1678</v>
      </c>
      <c r="M58" s="266">
        <f t="shared" si="15"/>
        <v>0.88116988881807234</v>
      </c>
      <c r="N58" s="266">
        <f t="shared" si="16"/>
        <v>0.11883011118192763</v>
      </c>
      <c r="O58" s="265">
        <f t="shared" si="17"/>
        <v>14121</v>
      </c>
      <c r="P58" s="297">
        <v>1798</v>
      </c>
      <c r="Q58" s="265">
        <f t="shared" si="0"/>
        <v>15919</v>
      </c>
      <c r="R58" s="269">
        <v>5800</v>
      </c>
      <c r="S58" s="298">
        <f t="shared" si="12"/>
        <v>9.6532195500387896</v>
      </c>
      <c r="T58" s="298">
        <f t="shared" si="13"/>
        <v>1.3017843289371607</v>
      </c>
      <c r="U58" s="201">
        <f t="shared" si="14"/>
        <v>12.349883630721489</v>
      </c>
      <c r="V58" s="200" t="s">
        <v>736</v>
      </c>
    </row>
    <row r="59" spans="1:22" ht="14.5" x14ac:dyDescent="0.35">
      <c r="A59" s="196" t="s">
        <v>73</v>
      </c>
      <c r="B59" s="197" t="s">
        <v>74</v>
      </c>
      <c r="C59" s="197" t="s">
        <v>77</v>
      </c>
      <c r="D59" s="197" t="s">
        <v>10</v>
      </c>
      <c r="E59" s="94" t="str">
        <f>HYPERLINK("https://youtube.com/channel/UCiHoMDXJQboJy1UEN-hBU9A","https://youtube.com/channel/UCiHoMDXJQboJy1UEN-hBU9A")</f>
        <v>https://youtube.com/channel/UCiHoMDXJQboJy1UEN-hBU9A</v>
      </c>
      <c r="F59" s="249" t="s">
        <v>788</v>
      </c>
      <c r="G59" s="249" t="s">
        <v>12</v>
      </c>
      <c r="H59" s="265">
        <v>382</v>
      </c>
      <c r="I59" s="265">
        <v>92724</v>
      </c>
      <c r="J59" s="265">
        <f t="shared" si="11"/>
        <v>242.73298429319371</v>
      </c>
      <c r="K59" s="265">
        <v>423</v>
      </c>
      <c r="L59" s="265">
        <v>129</v>
      </c>
      <c r="M59" s="266">
        <f t="shared" si="15"/>
        <v>0.76630434782608692</v>
      </c>
      <c r="N59" s="266">
        <f t="shared" si="16"/>
        <v>0.23369565217391305</v>
      </c>
      <c r="O59" s="265">
        <f t="shared" si="17"/>
        <v>552</v>
      </c>
      <c r="P59" s="297">
        <v>77</v>
      </c>
      <c r="Q59" s="265">
        <f t="shared" si="0"/>
        <v>629</v>
      </c>
      <c r="R59" s="269">
        <v>294</v>
      </c>
      <c r="S59" s="298">
        <f t="shared" si="12"/>
        <v>1.1073298429319371</v>
      </c>
      <c r="T59" s="298">
        <f t="shared" si="13"/>
        <v>0.33769633507853403</v>
      </c>
      <c r="U59" s="201">
        <f t="shared" si="14"/>
        <v>1.6465968586387434</v>
      </c>
      <c r="V59" s="200" t="s">
        <v>736</v>
      </c>
    </row>
    <row r="60" spans="1:22" ht="14.5" x14ac:dyDescent="0.35">
      <c r="A60" s="190" t="s">
        <v>73</v>
      </c>
      <c r="B60" s="191" t="s">
        <v>74</v>
      </c>
      <c r="C60" s="191" t="s">
        <v>13</v>
      </c>
      <c r="D60" s="191" t="s">
        <v>10</v>
      </c>
      <c r="E60" s="94" t="str">
        <f>HYPERLINK("https://youtube.com/gmicafghanistan","https://youtube.com/gmicafghanistan")</f>
        <v>https://youtube.com/gmicafghanistan</v>
      </c>
      <c r="F60" s="249" t="s">
        <v>78</v>
      </c>
      <c r="G60" s="249" t="s">
        <v>6</v>
      </c>
      <c r="H60" s="265">
        <v>58</v>
      </c>
      <c r="I60" s="265">
        <v>121090</v>
      </c>
      <c r="J60" s="265">
        <f t="shared" si="11"/>
        <v>2087.7586206896553</v>
      </c>
      <c r="K60" s="265">
        <v>240</v>
      </c>
      <c r="L60" s="265">
        <v>11</v>
      </c>
      <c r="M60" s="266">
        <f t="shared" si="15"/>
        <v>0.95617529880478092</v>
      </c>
      <c r="N60" s="266">
        <f t="shared" si="16"/>
        <v>4.3824701195219126E-2</v>
      </c>
      <c r="O60" s="265">
        <f t="shared" si="17"/>
        <v>251</v>
      </c>
      <c r="P60" s="297">
        <v>64</v>
      </c>
      <c r="Q60" s="265">
        <f t="shared" si="0"/>
        <v>315</v>
      </c>
      <c r="R60" s="269">
        <v>61</v>
      </c>
      <c r="S60" s="298">
        <f t="shared" si="12"/>
        <v>4.1379310344827589</v>
      </c>
      <c r="T60" s="298">
        <f t="shared" si="13"/>
        <v>0.18965517241379309</v>
      </c>
      <c r="U60" s="201">
        <f t="shared" si="14"/>
        <v>5.431034482758621</v>
      </c>
      <c r="V60" s="200" t="s">
        <v>736</v>
      </c>
    </row>
    <row r="61" spans="1:22" ht="14.5" x14ac:dyDescent="0.35">
      <c r="A61" s="190" t="s">
        <v>73</v>
      </c>
      <c r="B61" s="191" t="s">
        <v>79</v>
      </c>
      <c r="C61" s="191" t="s">
        <v>9</v>
      </c>
      <c r="D61" s="191" t="s">
        <v>10</v>
      </c>
      <c r="E61" s="94" t="str">
        <f>HYPERLINK("https://youtube.com/presidentpress","https://youtube.com/presidentpress")</f>
        <v>https://youtube.com/presidentpress</v>
      </c>
      <c r="F61" s="249" t="s">
        <v>350</v>
      </c>
      <c r="G61" s="249" t="s">
        <v>12</v>
      </c>
      <c r="H61" s="265">
        <v>141</v>
      </c>
      <c r="I61" s="265">
        <v>487184</v>
      </c>
      <c r="J61" s="265">
        <f t="shared" si="11"/>
        <v>3455.205673758865</v>
      </c>
      <c r="K61" s="265">
        <v>5106</v>
      </c>
      <c r="L61" s="265">
        <v>298</v>
      </c>
      <c r="M61" s="266">
        <f t="shared" si="15"/>
        <v>0.94485566247224273</v>
      </c>
      <c r="N61" s="266">
        <f t="shared" si="16"/>
        <v>5.5144337527757215E-2</v>
      </c>
      <c r="O61" s="265">
        <f t="shared" si="17"/>
        <v>5404</v>
      </c>
      <c r="P61" s="297">
        <v>10</v>
      </c>
      <c r="Q61" s="265">
        <f t="shared" si="0"/>
        <v>5414</v>
      </c>
      <c r="R61" s="269">
        <v>434</v>
      </c>
      <c r="S61" s="298">
        <f t="shared" si="12"/>
        <v>36.212765957446805</v>
      </c>
      <c r="T61" s="298">
        <f t="shared" si="13"/>
        <v>2.1134751773049647</v>
      </c>
      <c r="U61" s="201">
        <f t="shared" si="14"/>
        <v>38.397163120567377</v>
      </c>
      <c r="V61" s="197" t="s">
        <v>736</v>
      </c>
    </row>
    <row r="62" spans="1:22" ht="14.5" x14ac:dyDescent="0.35">
      <c r="A62" s="190" t="s">
        <v>73</v>
      </c>
      <c r="B62" s="191" t="s">
        <v>79</v>
      </c>
      <c r="C62" s="197" t="s">
        <v>13</v>
      </c>
      <c r="D62" s="191" t="s">
        <v>10</v>
      </c>
      <c r="E62" s="94" t="str">
        <f>HYPERLINK("https://youtube.com/egovernmentam","https://youtube.com/egovernmentam")</f>
        <v>https://youtube.com/egovernmentam</v>
      </c>
      <c r="F62" s="249" t="s">
        <v>368</v>
      </c>
      <c r="G62" s="249" t="s">
        <v>12</v>
      </c>
      <c r="H62" s="265">
        <v>209</v>
      </c>
      <c r="I62" s="265">
        <v>29573</v>
      </c>
      <c r="J62" s="265">
        <f t="shared" si="11"/>
        <v>141.49760765550241</v>
      </c>
      <c r="K62" s="265">
        <v>194</v>
      </c>
      <c r="L62" s="265">
        <v>8</v>
      </c>
      <c r="M62" s="266">
        <f t="shared" si="15"/>
        <v>0.96039603960396036</v>
      </c>
      <c r="N62" s="266">
        <f t="shared" si="16"/>
        <v>3.9603960396039604E-2</v>
      </c>
      <c r="O62" s="265">
        <f t="shared" si="17"/>
        <v>202</v>
      </c>
      <c r="P62" s="297">
        <v>17</v>
      </c>
      <c r="Q62" s="265">
        <f t="shared" si="0"/>
        <v>219</v>
      </c>
      <c r="R62" s="269">
        <v>53</v>
      </c>
      <c r="S62" s="298">
        <f t="shared" si="12"/>
        <v>0.92822966507177029</v>
      </c>
      <c r="T62" s="298">
        <f t="shared" si="13"/>
        <v>3.8277511961722487E-2</v>
      </c>
      <c r="U62" s="201">
        <f t="shared" si="14"/>
        <v>1.0478468899521531</v>
      </c>
      <c r="V62" s="200" t="s">
        <v>736</v>
      </c>
    </row>
    <row r="63" spans="1:22" ht="14.5" x14ac:dyDescent="0.35">
      <c r="A63" s="190" t="s">
        <v>73</v>
      </c>
      <c r="B63" s="191" t="s">
        <v>79</v>
      </c>
      <c r="C63" s="191" t="s">
        <v>14</v>
      </c>
      <c r="D63" s="191" t="s">
        <v>10</v>
      </c>
      <c r="E63" s="93" t="s">
        <v>80</v>
      </c>
      <c r="F63" s="249" t="s">
        <v>590</v>
      </c>
      <c r="G63" s="249" t="s">
        <v>12</v>
      </c>
      <c r="H63" s="265">
        <v>540</v>
      </c>
      <c r="I63" s="265">
        <v>13112</v>
      </c>
      <c r="J63" s="265">
        <f t="shared" si="11"/>
        <v>24.281481481481482</v>
      </c>
      <c r="K63" s="265">
        <v>0</v>
      </c>
      <c r="L63" s="265">
        <v>0</v>
      </c>
      <c r="M63" s="265">
        <v>0</v>
      </c>
      <c r="N63" s="265">
        <v>0</v>
      </c>
      <c r="O63" s="265">
        <v>0</v>
      </c>
      <c r="P63" s="297">
        <v>0</v>
      </c>
      <c r="Q63" s="265">
        <f t="shared" si="0"/>
        <v>0</v>
      </c>
      <c r="R63" s="270">
        <v>70</v>
      </c>
      <c r="S63" s="298">
        <f t="shared" si="12"/>
        <v>0</v>
      </c>
      <c r="T63" s="298">
        <f t="shared" si="13"/>
        <v>0</v>
      </c>
      <c r="U63" s="201">
        <f t="shared" si="14"/>
        <v>0</v>
      </c>
      <c r="V63" s="200" t="s">
        <v>736</v>
      </c>
    </row>
    <row r="64" spans="1:22" ht="14.5" x14ac:dyDescent="0.35">
      <c r="A64" s="190" t="s">
        <v>73</v>
      </c>
      <c r="B64" s="191" t="s">
        <v>81</v>
      </c>
      <c r="C64" s="191" t="s">
        <v>4</v>
      </c>
      <c r="D64" s="191" t="s">
        <v>5</v>
      </c>
      <c r="E64" s="94" t="str">
        <f>HYPERLINK("https://youtube.com/presidentaz","https://youtube.com/presidentaz")</f>
        <v>https://youtube.com/presidentaz</v>
      </c>
      <c r="F64" s="249" t="s">
        <v>82</v>
      </c>
      <c r="G64" s="249" t="s">
        <v>12</v>
      </c>
      <c r="H64" s="265">
        <v>591</v>
      </c>
      <c r="I64" s="265">
        <v>2058542</v>
      </c>
      <c r="J64" s="265">
        <f t="shared" si="11"/>
        <v>3483.150592216582</v>
      </c>
      <c r="K64" s="265">
        <v>53</v>
      </c>
      <c r="L64" s="265">
        <v>18</v>
      </c>
      <c r="M64" s="266">
        <f>SUM(K64)/O64</f>
        <v>0.74647887323943662</v>
      </c>
      <c r="N64" s="266">
        <f>SUM(L64)/O64</f>
        <v>0.25352112676056338</v>
      </c>
      <c r="O64" s="265">
        <f>SUM(K64:L64)</f>
        <v>71</v>
      </c>
      <c r="P64" s="297">
        <v>4</v>
      </c>
      <c r="Q64" s="265">
        <f t="shared" si="0"/>
        <v>75</v>
      </c>
      <c r="R64" s="269">
        <v>2776</v>
      </c>
      <c r="S64" s="298">
        <f t="shared" si="12"/>
        <v>8.9678510998307953E-2</v>
      </c>
      <c r="T64" s="298">
        <f t="shared" si="13"/>
        <v>3.0456852791878174E-2</v>
      </c>
      <c r="U64" s="201">
        <f t="shared" si="14"/>
        <v>0.12690355329949238</v>
      </c>
      <c r="V64" s="197" t="s">
        <v>736</v>
      </c>
    </row>
    <row r="65" spans="1:22" ht="14.5" x14ac:dyDescent="0.35">
      <c r="A65" s="190" t="s">
        <v>73</v>
      </c>
      <c r="B65" s="191" t="s">
        <v>81</v>
      </c>
      <c r="C65" s="191" t="s">
        <v>14</v>
      </c>
      <c r="D65" s="191" t="s">
        <v>10</v>
      </c>
      <c r="E65" s="94" t="str">
        <f>HYPERLINK("https://youtube.com/MFAAzerbaijan","https://youtube.com/MFAAzerbaijan")</f>
        <v>https://youtube.com/MFAAzerbaijan</v>
      </c>
      <c r="F65" s="249" t="s">
        <v>83</v>
      </c>
      <c r="G65" s="249" t="s">
        <v>12</v>
      </c>
      <c r="H65" s="265">
        <v>91</v>
      </c>
      <c r="I65" s="265">
        <v>19514</v>
      </c>
      <c r="J65" s="265">
        <f t="shared" si="11"/>
        <v>214.43956043956044</v>
      </c>
      <c r="K65" s="265">
        <v>6</v>
      </c>
      <c r="L65" s="265">
        <v>0</v>
      </c>
      <c r="M65" s="266">
        <f>SUM(K65)/O65</f>
        <v>1</v>
      </c>
      <c r="N65" s="266">
        <f>SUM(L65)/O65</f>
        <v>0</v>
      </c>
      <c r="O65" s="265">
        <f>SUM(K65:L65)</f>
        <v>6</v>
      </c>
      <c r="P65" s="297">
        <v>0</v>
      </c>
      <c r="Q65" s="265">
        <f t="shared" si="0"/>
        <v>6</v>
      </c>
      <c r="R65" s="269">
        <v>267</v>
      </c>
      <c r="S65" s="298">
        <f t="shared" si="12"/>
        <v>6.5934065934065936E-2</v>
      </c>
      <c r="T65" s="298">
        <f t="shared" si="13"/>
        <v>0</v>
      </c>
      <c r="U65" s="201">
        <f t="shared" si="14"/>
        <v>6.5934065934065936E-2</v>
      </c>
      <c r="V65" s="200" t="s">
        <v>736</v>
      </c>
    </row>
    <row r="66" spans="1:22" ht="14.5" x14ac:dyDescent="0.35">
      <c r="A66" s="198" t="s">
        <v>73</v>
      </c>
      <c r="B66" s="193" t="s">
        <v>84</v>
      </c>
      <c r="C66" s="191" t="s">
        <v>85</v>
      </c>
      <c r="D66" s="191" t="s">
        <v>5</v>
      </c>
      <c r="E66" s="93" t="s">
        <v>440</v>
      </c>
      <c r="F66" s="249" t="s">
        <v>549</v>
      </c>
      <c r="G66" s="249" t="s">
        <v>12</v>
      </c>
      <c r="H66" s="265">
        <v>625</v>
      </c>
      <c r="I66" s="265">
        <v>54396</v>
      </c>
      <c r="J66" s="265">
        <f t="shared" si="11"/>
        <v>87.033600000000007</v>
      </c>
      <c r="K66" s="265">
        <v>0</v>
      </c>
      <c r="L66" s="265">
        <v>0</v>
      </c>
      <c r="M66" s="265">
        <v>0</v>
      </c>
      <c r="N66" s="265">
        <v>0</v>
      </c>
      <c r="O66" s="265">
        <v>0</v>
      </c>
      <c r="P66" s="297">
        <v>0</v>
      </c>
      <c r="Q66" s="265">
        <f t="shared" si="0"/>
        <v>0</v>
      </c>
      <c r="R66" s="299" t="s">
        <v>740</v>
      </c>
      <c r="S66" s="298">
        <f t="shared" si="12"/>
        <v>0</v>
      </c>
      <c r="T66" s="298">
        <f t="shared" si="13"/>
        <v>0</v>
      </c>
      <c r="U66" s="201">
        <f t="shared" si="14"/>
        <v>0</v>
      </c>
      <c r="V66" s="200" t="s">
        <v>736</v>
      </c>
    </row>
    <row r="67" spans="1:22" ht="14.5" x14ac:dyDescent="0.35">
      <c r="A67" s="190" t="s">
        <v>73</v>
      </c>
      <c r="B67" s="191" t="s">
        <v>84</v>
      </c>
      <c r="C67" s="191" t="s">
        <v>13</v>
      </c>
      <c r="D67" s="191" t="s">
        <v>10</v>
      </c>
      <c r="E67" s="94" t="str">
        <f>HYPERLINK("https://youtube.com/egovbahrain","https://youtube.com/egovbahrain")</f>
        <v>https://youtube.com/egovbahrain</v>
      </c>
      <c r="F67" s="249" t="s">
        <v>325</v>
      </c>
      <c r="G67" s="249" t="s">
        <v>12</v>
      </c>
      <c r="H67" s="265">
        <v>266</v>
      </c>
      <c r="I67" s="265">
        <v>173379</v>
      </c>
      <c r="J67" s="265">
        <f t="shared" si="11"/>
        <v>651.80075187969919</v>
      </c>
      <c r="K67" s="265">
        <v>395</v>
      </c>
      <c r="L67" s="265">
        <v>63</v>
      </c>
      <c r="M67" s="266">
        <f t="shared" ref="M67:M79" si="18">SUM(K67)/O67</f>
        <v>0.86244541484716153</v>
      </c>
      <c r="N67" s="266">
        <f t="shared" ref="N67:N79" si="19">SUM(L67)/O67</f>
        <v>0.13755458515283842</v>
      </c>
      <c r="O67" s="265">
        <f t="shared" ref="O67:O79" si="20">SUM(K67:L67)</f>
        <v>458</v>
      </c>
      <c r="P67" s="297">
        <v>37</v>
      </c>
      <c r="Q67" s="265">
        <f t="shared" ref="Q67:Q130" si="21">SUM(O67,P67)</f>
        <v>495</v>
      </c>
      <c r="R67" s="269">
        <v>589</v>
      </c>
      <c r="S67" s="298">
        <f t="shared" si="12"/>
        <v>1.4849624060150375</v>
      </c>
      <c r="T67" s="298">
        <f t="shared" si="13"/>
        <v>0.23684210526315788</v>
      </c>
      <c r="U67" s="201">
        <f t="shared" si="14"/>
        <v>1.8609022556390977</v>
      </c>
      <c r="V67" s="200" t="s">
        <v>736</v>
      </c>
    </row>
    <row r="68" spans="1:22" ht="14.5" x14ac:dyDescent="0.35">
      <c r="A68" s="190" t="s">
        <v>73</v>
      </c>
      <c r="B68" s="191" t="s">
        <v>84</v>
      </c>
      <c r="C68" s="191" t="s">
        <v>14</v>
      </c>
      <c r="D68" s="191" t="s">
        <v>10</v>
      </c>
      <c r="E68" s="94" t="str">
        <f>HYPERLINK("https://youtube.com/bahrainvideo","https://youtube.com/bahrainvideo")</f>
        <v>https://youtube.com/bahrainvideo</v>
      </c>
      <c r="F68" s="249" t="s">
        <v>354</v>
      </c>
      <c r="G68" s="249" t="s">
        <v>12</v>
      </c>
      <c r="H68" s="265">
        <v>436</v>
      </c>
      <c r="I68" s="265">
        <v>98161</v>
      </c>
      <c r="J68" s="265">
        <f t="shared" si="11"/>
        <v>225.13990825688074</v>
      </c>
      <c r="K68" s="265">
        <v>132</v>
      </c>
      <c r="L68" s="265">
        <v>30</v>
      </c>
      <c r="M68" s="266">
        <f t="shared" si="18"/>
        <v>0.81481481481481477</v>
      </c>
      <c r="N68" s="266">
        <f t="shared" si="19"/>
        <v>0.18518518518518517</v>
      </c>
      <c r="O68" s="265">
        <f t="shared" si="20"/>
        <v>162</v>
      </c>
      <c r="P68" s="297">
        <v>15</v>
      </c>
      <c r="Q68" s="265">
        <f t="shared" si="21"/>
        <v>177</v>
      </c>
      <c r="R68" s="269">
        <v>262</v>
      </c>
      <c r="S68" s="298">
        <f t="shared" si="12"/>
        <v>0.30275229357798167</v>
      </c>
      <c r="T68" s="298">
        <f t="shared" si="13"/>
        <v>6.8807339449541288E-2</v>
      </c>
      <c r="U68" s="201">
        <f t="shared" si="14"/>
        <v>0.40596330275229359</v>
      </c>
      <c r="V68" s="200" t="s">
        <v>736</v>
      </c>
    </row>
    <row r="69" spans="1:22" ht="14.5" x14ac:dyDescent="0.35">
      <c r="A69" s="255" t="s">
        <v>73</v>
      </c>
      <c r="B69" s="257" t="s">
        <v>86</v>
      </c>
      <c r="C69" s="256" t="s">
        <v>13</v>
      </c>
      <c r="D69" s="256" t="s">
        <v>10</v>
      </c>
      <c r="E69" s="93" t="s">
        <v>87</v>
      </c>
      <c r="F69" s="249" t="s">
        <v>585</v>
      </c>
      <c r="G69" s="249" t="s">
        <v>12</v>
      </c>
      <c r="H69" s="265">
        <v>78</v>
      </c>
      <c r="I69" s="265">
        <v>61565</v>
      </c>
      <c r="J69" s="265">
        <f t="shared" si="11"/>
        <v>789.29487179487182</v>
      </c>
      <c r="K69" s="265">
        <v>620</v>
      </c>
      <c r="L69" s="265">
        <v>18</v>
      </c>
      <c r="M69" s="266">
        <f t="shared" si="18"/>
        <v>0.97178683385579934</v>
      </c>
      <c r="N69" s="266">
        <f t="shared" si="19"/>
        <v>2.8213166144200628E-2</v>
      </c>
      <c r="O69" s="265">
        <f t="shared" si="20"/>
        <v>638</v>
      </c>
      <c r="P69" s="297">
        <v>74</v>
      </c>
      <c r="Q69" s="265">
        <f t="shared" si="21"/>
        <v>712</v>
      </c>
      <c r="R69" s="270">
        <v>1616</v>
      </c>
      <c r="S69" s="298">
        <f t="shared" si="12"/>
        <v>7.9487179487179489</v>
      </c>
      <c r="T69" s="298">
        <f t="shared" si="13"/>
        <v>0.23076923076923078</v>
      </c>
      <c r="U69" s="201">
        <f t="shared" si="14"/>
        <v>9.1282051282051277</v>
      </c>
      <c r="V69" s="200" t="s">
        <v>736</v>
      </c>
    </row>
    <row r="70" spans="1:22" ht="14.5" x14ac:dyDescent="0.35">
      <c r="A70" s="198" t="s">
        <v>73</v>
      </c>
      <c r="B70" s="193" t="s">
        <v>88</v>
      </c>
      <c r="C70" s="193" t="s">
        <v>7</v>
      </c>
      <c r="D70" s="193" t="s">
        <v>5</v>
      </c>
      <c r="E70" s="93" t="s">
        <v>90</v>
      </c>
      <c r="F70" s="249" t="s">
        <v>488</v>
      </c>
      <c r="G70" s="249" t="s">
        <v>12</v>
      </c>
      <c r="H70" s="265">
        <v>20</v>
      </c>
      <c r="I70" s="265">
        <v>81557</v>
      </c>
      <c r="J70" s="265">
        <f t="shared" si="11"/>
        <v>4077.85</v>
      </c>
      <c r="K70" s="265">
        <v>255</v>
      </c>
      <c r="L70" s="265">
        <v>11</v>
      </c>
      <c r="M70" s="266">
        <f t="shared" si="18"/>
        <v>0.95864661654135341</v>
      </c>
      <c r="N70" s="266">
        <f t="shared" si="19"/>
        <v>4.1353383458646614E-2</v>
      </c>
      <c r="O70" s="265">
        <f t="shared" si="20"/>
        <v>266</v>
      </c>
      <c r="P70" s="297">
        <v>46</v>
      </c>
      <c r="Q70" s="265">
        <f t="shared" si="21"/>
        <v>312</v>
      </c>
      <c r="R70" s="270">
        <v>141</v>
      </c>
      <c r="S70" s="298">
        <f t="shared" si="12"/>
        <v>12.75</v>
      </c>
      <c r="T70" s="298">
        <f t="shared" si="13"/>
        <v>0.55000000000000004</v>
      </c>
      <c r="U70" s="201">
        <f t="shared" si="14"/>
        <v>15.6</v>
      </c>
      <c r="V70" s="197" t="s">
        <v>736</v>
      </c>
    </row>
    <row r="71" spans="1:22" ht="14.5" x14ac:dyDescent="0.35">
      <c r="A71" s="196" t="s">
        <v>73</v>
      </c>
      <c r="B71" s="197" t="s">
        <v>91</v>
      </c>
      <c r="C71" s="197" t="s">
        <v>13</v>
      </c>
      <c r="D71" s="197" t="s">
        <v>10</v>
      </c>
      <c r="E71" s="98" t="s">
        <v>441</v>
      </c>
      <c r="F71" s="249" t="s">
        <v>583</v>
      </c>
      <c r="G71" s="249" t="s">
        <v>12</v>
      </c>
      <c r="H71" s="265">
        <v>43</v>
      </c>
      <c r="I71" s="265">
        <v>3492</v>
      </c>
      <c r="J71" s="265">
        <f t="shared" si="11"/>
        <v>81.20930232558139</v>
      </c>
      <c r="K71" s="265">
        <v>23</v>
      </c>
      <c r="L71" s="265">
        <v>0</v>
      </c>
      <c r="M71" s="266">
        <f t="shared" si="18"/>
        <v>1</v>
      </c>
      <c r="N71" s="266">
        <f t="shared" si="19"/>
        <v>0</v>
      </c>
      <c r="O71" s="265">
        <f t="shared" si="20"/>
        <v>23</v>
      </c>
      <c r="P71" s="297">
        <v>1</v>
      </c>
      <c r="Q71" s="265">
        <f t="shared" si="21"/>
        <v>24</v>
      </c>
      <c r="R71" s="271">
        <v>36</v>
      </c>
      <c r="S71" s="298">
        <f t="shared" si="12"/>
        <v>0.53488372093023251</v>
      </c>
      <c r="T71" s="298">
        <f t="shared" si="13"/>
        <v>0</v>
      </c>
      <c r="U71" s="201">
        <f t="shared" si="14"/>
        <v>0.55813953488372092</v>
      </c>
      <c r="V71" s="200" t="s">
        <v>736</v>
      </c>
    </row>
    <row r="72" spans="1:22" ht="14.5" x14ac:dyDescent="0.35">
      <c r="A72" s="196" t="s">
        <v>73</v>
      </c>
      <c r="B72" s="197" t="s">
        <v>92</v>
      </c>
      <c r="C72" s="197" t="s">
        <v>7</v>
      </c>
      <c r="D72" s="197" t="s">
        <v>5</v>
      </c>
      <c r="E72" s="253" t="s">
        <v>715</v>
      </c>
      <c r="F72" s="249" t="s">
        <v>778</v>
      </c>
      <c r="G72" s="249" t="s">
        <v>12</v>
      </c>
      <c r="H72" s="265">
        <v>89</v>
      </c>
      <c r="I72" s="265">
        <v>7514</v>
      </c>
      <c r="J72" s="265">
        <f t="shared" si="11"/>
        <v>84.426966292134836</v>
      </c>
      <c r="K72" s="265">
        <v>26</v>
      </c>
      <c r="L72" s="265">
        <v>0</v>
      </c>
      <c r="M72" s="266">
        <f t="shared" si="18"/>
        <v>1</v>
      </c>
      <c r="N72" s="266">
        <f t="shared" si="19"/>
        <v>0</v>
      </c>
      <c r="O72" s="265">
        <f t="shared" si="20"/>
        <v>26</v>
      </c>
      <c r="P72" s="297">
        <v>2</v>
      </c>
      <c r="Q72" s="265">
        <f t="shared" si="21"/>
        <v>28</v>
      </c>
      <c r="R72" s="271">
        <v>68</v>
      </c>
      <c r="S72" s="298">
        <f t="shared" si="12"/>
        <v>0.29213483146067415</v>
      </c>
      <c r="T72" s="298">
        <f t="shared" si="13"/>
        <v>0</v>
      </c>
      <c r="U72" s="201">
        <f t="shared" si="14"/>
        <v>0.3146067415730337</v>
      </c>
      <c r="V72" s="200" t="s">
        <v>736</v>
      </c>
    </row>
    <row r="73" spans="1:22" ht="14.5" x14ac:dyDescent="0.35">
      <c r="A73" s="198" t="s">
        <v>73</v>
      </c>
      <c r="B73" s="193" t="s">
        <v>94</v>
      </c>
      <c r="C73" s="191" t="s">
        <v>4</v>
      </c>
      <c r="D73" s="191" t="s">
        <v>5</v>
      </c>
      <c r="E73" s="94" t="str">
        <f>HYPERLINK("https://youtube.com/channel/UCBmnV-XxYK0kqqMWIqJmR7g","https://youtube.com/channel/UCBmnV-XxYK0kqqMWIqJmR7g")</f>
        <v>https://youtube.com/channel/UCBmnV-XxYK0kqqMWIqJmR7g</v>
      </c>
      <c r="F73" s="249" t="s">
        <v>785</v>
      </c>
      <c r="G73" s="249" t="s">
        <v>12</v>
      </c>
      <c r="H73" s="265">
        <v>646</v>
      </c>
      <c r="I73" s="265">
        <v>295271</v>
      </c>
      <c r="J73" s="265">
        <f t="shared" si="11"/>
        <v>457.07585139318883</v>
      </c>
      <c r="K73" s="265">
        <v>1372</v>
      </c>
      <c r="L73" s="265">
        <v>141</v>
      </c>
      <c r="M73" s="266">
        <f t="shared" si="18"/>
        <v>0.90680766688697956</v>
      </c>
      <c r="N73" s="266">
        <f t="shared" si="19"/>
        <v>9.3192333113020484E-2</v>
      </c>
      <c r="O73" s="265">
        <f t="shared" si="20"/>
        <v>1513</v>
      </c>
      <c r="P73" s="297">
        <v>173</v>
      </c>
      <c r="Q73" s="265">
        <f t="shared" si="21"/>
        <v>1686</v>
      </c>
      <c r="R73" s="269">
        <v>628</v>
      </c>
      <c r="S73" s="298">
        <f t="shared" si="12"/>
        <v>2.1238390092879258</v>
      </c>
      <c r="T73" s="298">
        <f t="shared" si="13"/>
        <v>0.21826625386996903</v>
      </c>
      <c r="U73" s="201">
        <f t="shared" si="14"/>
        <v>2.609907120743034</v>
      </c>
      <c r="V73" s="200" t="s">
        <v>736</v>
      </c>
    </row>
    <row r="74" spans="1:22" ht="14.5" x14ac:dyDescent="0.35">
      <c r="A74" s="196" t="s">
        <v>73</v>
      </c>
      <c r="B74" s="197" t="s">
        <v>94</v>
      </c>
      <c r="C74" s="197" t="s">
        <v>13</v>
      </c>
      <c r="D74" s="197" t="s">
        <v>10</v>
      </c>
      <c r="E74" s="93" t="s">
        <v>629</v>
      </c>
      <c r="F74" s="249" t="s">
        <v>533</v>
      </c>
      <c r="G74" s="249" t="s">
        <v>12</v>
      </c>
      <c r="H74" s="265">
        <v>170</v>
      </c>
      <c r="I74" s="265">
        <v>30031</v>
      </c>
      <c r="J74" s="265">
        <f t="shared" si="11"/>
        <v>176.65294117647059</v>
      </c>
      <c r="K74" s="265">
        <v>60</v>
      </c>
      <c r="L74" s="265">
        <v>11</v>
      </c>
      <c r="M74" s="266">
        <f t="shared" si="18"/>
        <v>0.84507042253521125</v>
      </c>
      <c r="N74" s="266">
        <f t="shared" si="19"/>
        <v>0.15492957746478872</v>
      </c>
      <c r="O74" s="265">
        <f t="shared" si="20"/>
        <v>71</v>
      </c>
      <c r="P74" s="297">
        <v>1</v>
      </c>
      <c r="Q74" s="265">
        <f t="shared" si="21"/>
        <v>72</v>
      </c>
      <c r="R74" s="270">
        <v>132</v>
      </c>
      <c r="S74" s="298">
        <f t="shared" si="12"/>
        <v>0.35294117647058826</v>
      </c>
      <c r="T74" s="298">
        <f t="shared" si="13"/>
        <v>6.4705882352941183E-2</v>
      </c>
      <c r="U74" s="201">
        <f t="shared" si="14"/>
        <v>0.42352941176470588</v>
      </c>
      <c r="V74" s="200" t="s">
        <v>736</v>
      </c>
    </row>
    <row r="75" spans="1:22" ht="14.5" x14ac:dyDescent="0.35">
      <c r="A75" s="190" t="s">
        <v>73</v>
      </c>
      <c r="B75" s="191" t="s">
        <v>94</v>
      </c>
      <c r="C75" s="191" t="s">
        <v>14</v>
      </c>
      <c r="D75" s="191" t="s">
        <v>10</v>
      </c>
      <c r="E75" s="94" t="str">
        <f>HYPERLINK("https://youtube.com/MFAGEO","https://youtube.com/MFAGEO")</f>
        <v>https://youtube.com/MFAGEO</v>
      </c>
      <c r="F75" s="249" t="s">
        <v>403</v>
      </c>
      <c r="G75" s="249" t="s">
        <v>12</v>
      </c>
      <c r="H75" s="265">
        <v>908</v>
      </c>
      <c r="I75" s="265">
        <v>116095</v>
      </c>
      <c r="J75" s="265">
        <f t="shared" si="11"/>
        <v>127.8579295154185</v>
      </c>
      <c r="K75" s="265">
        <v>311</v>
      </c>
      <c r="L75" s="265">
        <v>27</v>
      </c>
      <c r="M75" s="266">
        <f t="shared" si="18"/>
        <v>0.92011834319526631</v>
      </c>
      <c r="N75" s="266">
        <f t="shared" si="19"/>
        <v>7.9881656804733733E-2</v>
      </c>
      <c r="O75" s="265">
        <f t="shared" si="20"/>
        <v>338</v>
      </c>
      <c r="P75" s="297">
        <v>30</v>
      </c>
      <c r="Q75" s="265">
        <f t="shared" si="21"/>
        <v>368</v>
      </c>
      <c r="R75" s="269">
        <v>271</v>
      </c>
      <c r="S75" s="298">
        <f t="shared" si="12"/>
        <v>0.34251101321585903</v>
      </c>
      <c r="T75" s="298">
        <f t="shared" si="13"/>
        <v>2.9735682819383259E-2</v>
      </c>
      <c r="U75" s="201">
        <f t="shared" si="14"/>
        <v>0.40528634361233479</v>
      </c>
      <c r="V75" s="200" t="s">
        <v>736</v>
      </c>
    </row>
    <row r="76" spans="1:22" ht="14.5" x14ac:dyDescent="0.35">
      <c r="A76" s="190" t="s">
        <v>73</v>
      </c>
      <c r="B76" s="191" t="s">
        <v>95</v>
      </c>
      <c r="C76" s="191" t="s">
        <v>7</v>
      </c>
      <c r="D76" s="191" t="s">
        <v>5</v>
      </c>
      <c r="E76" s="93" t="s">
        <v>96</v>
      </c>
      <c r="F76" s="249" t="s">
        <v>489</v>
      </c>
      <c r="G76" s="249" t="s">
        <v>12</v>
      </c>
      <c r="H76" s="265">
        <v>5555</v>
      </c>
      <c r="I76" s="265">
        <v>46755593</v>
      </c>
      <c r="J76" s="265">
        <f t="shared" si="11"/>
        <v>8416.8484248424847</v>
      </c>
      <c r="K76" s="265">
        <v>553690</v>
      </c>
      <c r="L76" s="265">
        <v>22143</v>
      </c>
      <c r="M76" s="266">
        <f t="shared" si="18"/>
        <v>0.96154614271846173</v>
      </c>
      <c r="N76" s="266">
        <f t="shared" si="19"/>
        <v>3.8453857281538224E-2</v>
      </c>
      <c r="O76" s="265">
        <f t="shared" si="20"/>
        <v>575833</v>
      </c>
      <c r="P76" s="297">
        <v>32173</v>
      </c>
      <c r="Q76" s="265">
        <f t="shared" si="21"/>
        <v>608006</v>
      </c>
      <c r="R76" s="270">
        <v>315348</v>
      </c>
      <c r="S76" s="298">
        <f t="shared" si="12"/>
        <v>99.674167416741668</v>
      </c>
      <c r="T76" s="298">
        <f t="shared" si="13"/>
        <v>3.9861386138613861</v>
      </c>
      <c r="U76" s="201">
        <f t="shared" si="14"/>
        <v>109.45202520252025</v>
      </c>
      <c r="V76" s="200" t="s">
        <v>735</v>
      </c>
    </row>
    <row r="77" spans="1:22" ht="14.5" x14ac:dyDescent="0.35">
      <c r="A77" s="190" t="s">
        <v>73</v>
      </c>
      <c r="B77" s="191" t="s">
        <v>95</v>
      </c>
      <c r="C77" s="191" t="s">
        <v>7</v>
      </c>
      <c r="D77" s="191" t="s">
        <v>5</v>
      </c>
      <c r="E77" s="93" t="s">
        <v>1154</v>
      </c>
      <c r="F77" s="249" t="s">
        <v>1153</v>
      </c>
      <c r="G77" s="249" t="s">
        <v>12</v>
      </c>
      <c r="H77" s="253">
        <v>902</v>
      </c>
      <c r="I77" s="265">
        <v>5653394</v>
      </c>
      <c r="J77" s="265">
        <f t="shared" ref="J77:J108" si="22">SUM(I77/H77)</f>
        <v>6267.6208425720624</v>
      </c>
      <c r="K77" s="265">
        <v>49911</v>
      </c>
      <c r="L77" s="265">
        <v>2050</v>
      </c>
      <c r="M77" s="266">
        <f t="shared" si="18"/>
        <v>0.96054733357710587</v>
      </c>
      <c r="N77" s="266">
        <f t="shared" si="19"/>
        <v>3.9452666422894092E-2</v>
      </c>
      <c r="O77" s="265">
        <f t="shared" si="20"/>
        <v>51961</v>
      </c>
      <c r="P77" s="297">
        <v>13089</v>
      </c>
      <c r="Q77" s="265">
        <f t="shared" si="21"/>
        <v>65050</v>
      </c>
      <c r="R77" s="270">
        <v>57135</v>
      </c>
      <c r="S77" s="298">
        <f t="shared" si="12"/>
        <v>55.333702882483372</v>
      </c>
      <c r="T77" s="298">
        <f t="shared" si="13"/>
        <v>2.2727272727272729</v>
      </c>
      <c r="U77" s="201">
        <f t="shared" si="14"/>
        <v>72.117516629711758</v>
      </c>
      <c r="V77" s="200" t="s">
        <v>735</v>
      </c>
    </row>
    <row r="78" spans="1:22" ht="14.5" x14ac:dyDescent="0.35">
      <c r="A78" s="190" t="s">
        <v>73</v>
      </c>
      <c r="B78" s="191" t="s">
        <v>95</v>
      </c>
      <c r="C78" s="191" t="s">
        <v>14</v>
      </c>
      <c r="D78" s="191" t="s">
        <v>10</v>
      </c>
      <c r="E78" s="94" t="str">
        <f>HYPERLINK("https://youtube.com/Indiandiplomacy","https://youtube.com/Indiandiplomacy")</f>
        <v>https://youtube.com/Indiandiplomacy</v>
      </c>
      <c r="F78" s="249" t="s">
        <v>97</v>
      </c>
      <c r="G78" s="249" t="s">
        <v>12</v>
      </c>
      <c r="H78" s="265">
        <v>1681</v>
      </c>
      <c r="I78" s="265">
        <v>6673510</v>
      </c>
      <c r="J78" s="265">
        <f t="shared" si="22"/>
        <v>3969.9643069601429</v>
      </c>
      <c r="K78" s="265">
        <v>25947</v>
      </c>
      <c r="L78" s="265">
        <v>1755</v>
      </c>
      <c r="M78" s="266">
        <f t="shared" si="18"/>
        <v>0.93664717348927873</v>
      </c>
      <c r="N78" s="266">
        <f t="shared" si="19"/>
        <v>6.3352826510721244E-2</v>
      </c>
      <c r="O78" s="265">
        <f t="shared" si="20"/>
        <v>27702</v>
      </c>
      <c r="P78" s="297">
        <v>4354</v>
      </c>
      <c r="Q78" s="265">
        <f t="shared" si="21"/>
        <v>32056</v>
      </c>
      <c r="R78" s="269">
        <v>27944</v>
      </c>
      <c r="S78" s="298">
        <f t="shared" si="12"/>
        <v>15.43545508625818</v>
      </c>
      <c r="T78" s="298">
        <f t="shared" si="13"/>
        <v>1.0440214158239143</v>
      </c>
      <c r="U78" s="201">
        <f t="shared" si="14"/>
        <v>19.069601427721594</v>
      </c>
      <c r="V78" s="200" t="s">
        <v>736</v>
      </c>
    </row>
    <row r="79" spans="1:22" ht="14.5" x14ac:dyDescent="0.35">
      <c r="A79" s="198" t="s">
        <v>73</v>
      </c>
      <c r="B79" s="193" t="s">
        <v>95</v>
      </c>
      <c r="C79" s="191" t="s">
        <v>14</v>
      </c>
      <c r="D79" s="191" t="s">
        <v>98</v>
      </c>
      <c r="E79" s="94" t="str">
        <f>HYPERLINK("https://youtube.com/MeaIndia","https://youtube.com/MeaIndia")</f>
        <v>https://youtube.com/MeaIndia</v>
      </c>
      <c r="F79" s="249" t="s">
        <v>99</v>
      </c>
      <c r="G79" s="249" t="s">
        <v>12</v>
      </c>
      <c r="H79" s="265">
        <v>995</v>
      </c>
      <c r="I79" s="265">
        <v>1260414</v>
      </c>
      <c r="J79" s="265">
        <f t="shared" si="22"/>
        <v>1266.7477386934672</v>
      </c>
      <c r="K79" s="265">
        <v>8374</v>
      </c>
      <c r="L79" s="265">
        <v>1532</v>
      </c>
      <c r="M79" s="266">
        <f t="shared" si="18"/>
        <v>0.84534625479507364</v>
      </c>
      <c r="N79" s="266">
        <f t="shared" si="19"/>
        <v>0.15465374520492631</v>
      </c>
      <c r="O79" s="265">
        <f t="shared" si="20"/>
        <v>9906</v>
      </c>
      <c r="P79" s="297">
        <v>2887</v>
      </c>
      <c r="Q79" s="265">
        <f t="shared" si="21"/>
        <v>12793</v>
      </c>
      <c r="R79" s="269">
        <v>13073</v>
      </c>
      <c r="S79" s="298">
        <f t="shared" si="12"/>
        <v>8.416080402010051</v>
      </c>
      <c r="T79" s="298">
        <f t="shared" si="13"/>
        <v>1.5396984924623116</v>
      </c>
      <c r="U79" s="201">
        <f t="shared" si="14"/>
        <v>12.857286432160803</v>
      </c>
      <c r="V79" s="200" t="s">
        <v>735</v>
      </c>
    </row>
    <row r="80" spans="1:22" ht="14.5" x14ac:dyDescent="0.35">
      <c r="A80" s="190" t="s">
        <v>73</v>
      </c>
      <c r="B80" s="191" t="s">
        <v>100</v>
      </c>
      <c r="C80" s="191" t="s">
        <v>4</v>
      </c>
      <c r="D80" s="191" t="s">
        <v>5</v>
      </c>
      <c r="E80" s="93" t="s">
        <v>101</v>
      </c>
      <c r="F80" s="249" t="s">
        <v>1152</v>
      </c>
      <c r="G80" s="249" t="s">
        <v>738</v>
      </c>
      <c r="H80" s="265">
        <v>0</v>
      </c>
      <c r="I80" s="265">
        <v>0</v>
      </c>
      <c r="J80" s="265">
        <v>0</v>
      </c>
      <c r="K80" s="265">
        <v>0</v>
      </c>
      <c r="L80" s="265">
        <v>0</v>
      </c>
      <c r="M80" s="265">
        <v>0</v>
      </c>
      <c r="N80" s="265">
        <v>0</v>
      </c>
      <c r="O80" s="265">
        <v>0</v>
      </c>
      <c r="P80" s="297">
        <v>0</v>
      </c>
      <c r="Q80" s="265">
        <f t="shared" si="21"/>
        <v>0</v>
      </c>
      <c r="R80" s="270">
        <v>3</v>
      </c>
      <c r="S80" s="298">
        <v>0</v>
      </c>
      <c r="T80" s="298">
        <v>0</v>
      </c>
      <c r="U80" s="201">
        <v>0</v>
      </c>
      <c r="V80" s="200" t="s">
        <v>735</v>
      </c>
    </row>
    <row r="81" spans="1:22" ht="14.5" x14ac:dyDescent="0.35">
      <c r="A81" s="190" t="s">
        <v>73</v>
      </c>
      <c r="B81" s="191" t="s">
        <v>100</v>
      </c>
      <c r="C81" s="191" t="s">
        <v>9</v>
      </c>
      <c r="D81" s="191" t="s">
        <v>10</v>
      </c>
      <c r="E81" s="93" t="s">
        <v>102</v>
      </c>
      <c r="F81" s="249" t="s">
        <v>546</v>
      </c>
      <c r="G81" s="249" t="s">
        <v>6</v>
      </c>
      <c r="H81" s="265">
        <v>15</v>
      </c>
      <c r="I81" s="265">
        <v>18614</v>
      </c>
      <c r="J81" s="265">
        <f t="shared" ref="J81:J108" si="23">SUM(I81/H81)</f>
        <v>1240.9333333333334</v>
      </c>
      <c r="K81" s="265">
        <v>141</v>
      </c>
      <c r="L81" s="265">
        <v>3</v>
      </c>
      <c r="M81" s="266">
        <f t="shared" ref="M81:M96" si="24">SUM(K81)/O81</f>
        <v>0.97916666666666663</v>
      </c>
      <c r="N81" s="266">
        <f t="shared" ref="N81:N96" si="25">SUM(L81)/O81</f>
        <v>2.0833333333333332E-2</v>
      </c>
      <c r="O81" s="265">
        <f t="shared" ref="O81:O96" si="26">SUM(K81:L81)</f>
        <v>144</v>
      </c>
      <c r="P81" s="297">
        <v>14</v>
      </c>
      <c r="Q81" s="265">
        <f t="shared" si="21"/>
        <v>158</v>
      </c>
      <c r="R81" s="270">
        <v>114</v>
      </c>
      <c r="S81" s="298">
        <f t="shared" ref="S81:S108" si="27">SUM(K81)/H81</f>
        <v>9.4</v>
      </c>
      <c r="T81" s="298">
        <f t="shared" ref="T81:T108" si="28">SUM(L81)/H81</f>
        <v>0.2</v>
      </c>
      <c r="U81" s="201">
        <f t="shared" ref="U81:U108" si="29">SUM(Q81)/(H81)</f>
        <v>10.533333333333333</v>
      </c>
      <c r="V81" s="200" t="s">
        <v>736</v>
      </c>
    </row>
    <row r="82" spans="1:22" ht="14.5" x14ac:dyDescent="0.35">
      <c r="A82" s="190" t="s">
        <v>73</v>
      </c>
      <c r="B82" s="191" t="s">
        <v>103</v>
      </c>
      <c r="C82" s="191" t="s">
        <v>104</v>
      </c>
      <c r="D82" s="191" t="s">
        <v>5</v>
      </c>
      <c r="E82" s="95" t="s">
        <v>724</v>
      </c>
      <c r="F82" s="249" t="s">
        <v>819</v>
      </c>
      <c r="G82" s="249" t="s">
        <v>12</v>
      </c>
      <c r="H82" s="265">
        <v>342</v>
      </c>
      <c r="I82" s="265">
        <v>2294386</v>
      </c>
      <c r="J82" s="265">
        <f t="shared" si="23"/>
        <v>6708.7309941520471</v>
      </c>
      <c r="K82" s="265">
        <v>8288</v>
      </c>
      <c r="L82" s="265">
        <v>3218</v>
      </c>
      <c r="M82" s="266">
        <f t="shared" si="24"/>
        <v>0.7203198331305406</v>
      </c>
      <c r="N82" s="266">
        <f t="shared" si="25"/>
        <v>0.2796801668694594</v>
      </c>
      <c r="O82" s="265">
        <f t="shared" si="26"/>
        <v>11506</v>
      </c>
      <c r="P82" s="297">
        <v>3759</v>
      </c>
      <c r="Q82" s="265">
        <f t="shared" si="21"/>
        <v>15265</v>
      </c>
      <c r="R82" s="271">
        <v>4927</v>
      </c>
      <c r="S82" s="298">
        <f t="shared" si="27"/>
        <v>24.23391812865497</v>
      </c>
      <c r="T82" s="298">
        <f t="shared" si="28"/>
        <v>9.409356725146198</v>
      </c>
      <c r="U82" s="201">
        <f t="shared" si="29"/>
        <v>44.634502923976605</v>
      </c>
      <c r="V82" s="200" t="s">
        <v>736</v>
      </c>
    </row>
    <row r="83" spans="1:22" ht="14.5" x14ac:dyDescent="0.35">
      <c r="A83" s="198" t="s">
        <v>73</v>
      </c>
      <c r="B83" s="193" t="s">
        <v>103</v>
      </c>
      <c r="C83" s="191" t="s">
        <v>104</v>
      </c>
      <c r="D83" s="191" t="s">
        <v>5</v>
      </c>
      <c r="E83" s="98" t="s">
        <v>723</v>
      </c>
      <c r="F83" s="249" t="s">
        <v>817</v>
      </c>
      <c r="G83" s="249" t="s">
        <v>6</v>
      </c>
      <c r="H83" s="265">
        <v>76</v>
      </c>
      <c r="I83" s="265">
        <v>56954</v>
      </c>
      <c r="J83" s="265">
        <f t="shared" si="23"/>
        <v>749.39473684210532</v>
      </c>
      <c r="K83" s="265">
        <v>181</v>
      </c>
      <c r="L83" s="265">
        <v>29</v>
      </c>
      <c r="M83" s="266">
        <f t="shared" si="24"/>
        <v>0.86190476190476195</v>
      </c>
      <c r="N83" s="266">
        <f t="shared" si="25"/>
        <v>0.1380952380952381</v>
      </c>
      <c r="O83" s="265">
        <f t="shared" si="26"/>
        <v>210</v>
      </c>
      <c r="P83" s="297">
        <v>23</v>
      </c>
      <c r="Q83" s="265">
        <f t="shared" si="21"/>
        <v>233</v>
      </c>
      <c r="R83" s="271">
        <v>582</v>
      </c>
      <c r="S83" s="298">
        <f t="shared" si="27"/>
        <v>2.3815789473684212</v>
      </c>
      <c r="T83" s="298">
        <f t="shared" si="28"/>
        <v>0.38157894736842107</v>
      </c>
      <c r="U83" s="201">
        <f t="shared" si="29"/>
        <v>3.0657894736842106</v>
      </c>
      <c r="V83" s="200" t="s">
        <v>736</v>
      </c>
    </row>
    <row r="84" spans="1:22" ht="14.5" x14ac:dyDescent="0.35">
      <c r="A84" s="198" t="s">
        <v>73</v>
      </c>
      <c r="B84" s="193" t="s">
        <v>103</v>
      </c>
      <c r="C84" s="193" t="s">
        <v>4</v>
      </c>
      <c r="D84" s="193" t="s">
        <v>5</v>
      </c>
      <c r="E84" s="98" t="s">
        <v>729</v>
      </c>
      <c r="F84" s="249" t="s">
        <v>834</v>
      </c>
      <c r="G84" s="249" t="s">
        <v>773</v>
      </c>
      <c r="H84" s="265">
        <v>56</v>
      </c>
      <c r="I84" s="265">
        <v>343896</v>
      </c>
      <c r="J84" s="265">
        <f t="shared" si="23"/>
        <v>6141</v>
      </c>
      <c r="K84" s="265">
        <v>2249</v>
      </c>
      <c r="L84" s="265">
        <v>203</v>
      </c>
      <c r="M84" s="266">
        <f t="shared" si="24"/>
        <v>0.91721044045677003</v>
      </c>
      <c r="N84" s="266">
        <f t="shared" si="25"/>
        <v>8.2789559543230015E-2</v>
      </c>
      <c r="O84" s="265">
        <f t="shared" si="26"/>
        <v>2452</v>
      </c>
      <c r="P84" s="297">
        <v>371</v>
      </c>
      <c r="Q84" s="265">
        <f t="shared" si="21"/>
        <v>2823</v>
      </c>
      <c r="R84" s="299">
        <v>2288</v>
      </c>
      <c r="S84" s="298">
        <f t="shared" si="27"/>
        <v>40.160714285714285</v>
      </c>
      <c r="T84" s="298">
        <f t="shared" si="28"/>
        <v>3.625</v>
      </c>
      <c r="U84" s="201">
        <f t="shared" si="29"/>
        <v>50.410714285714285</v>
      </c>
      <c r="V84" s="197" t="s">
        <v>736</v>
      </c>
    </row>
    <row r="85" spans="1:22" ht="14.5" x14ac:dyDescent="0.35">
      <c r="A85" s="190" t="s">
        <v>73</v>
      </c>
      <c r="B85" s="191" t="s">
        <v>105</v>
      </c>
      <c r="C85" s="191" t="s">
        <v>7</v>
      </c>
      <c r="D85" s="191" t="s">
        <v>10</v>
      </c>
      <c r="E85" s="94" t="str">
        <f>HYPERLINK("https://youtube.com/pmoiraqichannel","https://youtube.com/pmoiraqichannel")</f>
        <v>https://youtube.com/pmoiraqichannel</v>
      </c>
      <c r="F85" s="249" t="s">
        <v>363</v>
      </c>
      <c r="G85" s="249" t="s">
        <v>12</v>
      </c>
      <c r="H85" s="265">
        <v>354</v>
      </c>
      <c r="I85" s="265">
        <v>843245</v>
      </c>
      <c r="J85" s="265">
        <f t="shared" si="23"/>
        <v>2382.0480225988699</v>
      </c>
      <c r="K85" s="265">
        <v>3497</v>
      </c>
      <c r="L85" s="265">
        <v>814</v>
      </c>
      <c r="M85" s="266">
        <f t="shared" si="24"/>
        <v>0.81118070053351887</v>
      </c>
      <c r="N85" s="266">
        <f t="shared" si="25"/>
        <v>0.1888192994664811</v>
      </c>
      <c r="O85" s="265">
        <f t="shared" si="26"/>
        <v>4311</v>
      </c>
      <c r="P85" s="297">
        <v>1146</v>
      </c>
      <c r="Q85" s="265">
        <f t="shared" si="21"/>
        <v>5457</v>
      </c>
      <c r="R85" s="269">
        <v>2847</v>
      </c>
      <c r="S85" s="298">
        <f t="shared" si="27"/>
        <v>9.878531073446327</v>
      </c>
      <c r="T85" s="298">
        <f t="shared" si="28"/>
        <v>2.2994350282485874</v>
      </c>
      <c r="U85" s="201">
        <f t="shared" si="29"/>
        <v>15.415254237288135</v>
      </c>
      <c r="V85" s="200" t="s">
        <v>736</v>
      </c>
    </row>
    <row r="86" spans="1:22" ht="14.5" x14ac:dyDescent="0.35">
      <c r="A86" s="190" t="s">
        <v>73</v>
      </c>
      <c r="B86" s="191" t="s">
        <v>105</v>
      </c>
      <c r="C86" s="191" t="s">
        <v>7</v>
      </c>
      <c r="D86" s="191" t="s">
        <v>5</v>
      </c>
      <c r="E86" s="93" t="s">
        <v>106</v>
      </c>
      <c r="F86" s="249" t="s">
        <v>564</v>
      </c>
      <c r="G86" s="249" t="s">
        <v>6</v>
      </c>
      <c r="H86" s="265">
        <v>151</v>
      </c>
      <c r="I86" s="265">
        <v>60311</v>
      </c>
      <c r="J86" s="265">
        <f t="shared" si="23"/>
        <v>399.41059602649005</v>
      </c>
      <c r="K86" s="265">
        <v>91</v>
      </c>
      <c r="L86" s="265">
        <v>15</v>
      </c>
      <c r="M86" s="266">
        <f t="shared" si="24"/>
        <v>0.85849056603773588</v>
      </c>
      <c r="N86" s="266">
        <f t="shared" si="25"/>
        <v>0.14150943396226415</v>
      </c>
      <c r="O86" s="265">
        <f t="shared" si="26"/>
        <v>106</v>
      </c>
      <c r="P86" s="297">
        <v>15</v>
      </c>
      <c r="Q86" s="265">
        <f t="shared" si="21"/>
        <v>121</v>
      </c>
      <c r="R86" s="270">
        <v>193</v>
      </c>
      <c r="S86" s="298">
        <f t="shared" si="27"/>
        <v>0.60264900662251653</v>
      </c>
      <c r="T86" s="298">
        <f t="shared" si="28"/>
        <v>9.9337748344370855E-2</v>
      </c>
      <c r="U86" s="201">
        <f t="shared" si="29"/>
        <v>0.80132450331125826</v>
      </c>
      <c r="V86" s="200" t="s">
        <v>736</v>
      </c>
    </row>
    <row r="87" spans="1:22" ht="14.5" x14ac:dyDescent="0.35">
      <c r="A87" s="190" t="s">
        <v>73</v>
      </c>
      <c r="B87" s="191" t="s">
        <v>105</v>
      </c>
      <c r="C87" s="191" t="s">
        <v>14</v>
      </c>
      <c r="D87" s="191" t="s">
        <v>10</v>
      </c>
      <c r="E87" s="94" t="str">
        <f>HYPERLINK("https://youtube.com/aljaffaary","https://youtube.com/aljaffaary")</f>
        <v>https://youtube.com/aljaffaary</v>
      </c>
      <c r="F87" s="249" t="s">
        <v>770</v>
      </c>
      <c r="G87" s="249" t="s">
        <v>12</v>
      </c>
      <c r="H87" s="265">
        <v>1819</v>
      </c>
      <c r="I87" s="265">
        <v>927623</v>
      </c>
      <c r="J87" s="265">
        <f t="shared" si="23"/>
        <v>509.96316657504121</v>
      </c>
      <c r="K87" s="265">
        <v>6864</v>
      </c>
      <c r="L87" s="265">
        <v>794</v>
      </c>
      <c r="M87" s="266">
        <f t="shared" si="24"/>
        <v>0.89631757639070253</v>
      </c>
      <c r="N87" s="266">
        <f t="shared" si="25"/>
        <v>0.10368242360929747</v>
      </c>
      <c r="O87" s="265">
        <f t="shared" si="26"/>
        <v>7658</v>
      </c>
      <c r="P87" s="297">
        <v>1129</v>
      </c>
      <c r="Q87" s="265">
        <f t="shared" si="21"/>
        <v>8787</v>
      </c>
      <c r="R87" s="269">
        <v>4044</v>
      </c>
      <c r="S87" s="298">
        <f t="shared" si="27"/>
        <v>3.7735019241341394</v>
      </c>
      <c r="T87" s="298">
        <f t="shared" si="28"/>
        <v>0.4365035733919736</v>
      </c>
      <c r="U87" s="201">
        <f t="shared" si="29"/>
        <v>4.8306761957119297</v>
      </c>
      <c r="V87" s="200" t="s">
        <v>736</v>
      </c>
    </row>
    <row r="88" spans="1:22" ht="14.5" x14ac:dyDescent="0.35">
      <c r="A88" s="190" t="s">
        <v>73</v>
      </c>
      <c r="B88" s="191" t="s">
        <v>107</v>
      </c>
      <c r="C88" s="191" t="s">
        <v>7</v>
      </c>
      <c r="D88" s="191" t="s">
        <v>5</v>
      </c>
      <c r="E88" s="93" t="s">
        <v>108</v>
      </c>
      <c r="F88" s="249" t="s">
        <v>557</v>
      </c>
      <c r="G88" s="249" t="s">
        <v>12</v>
      </c>
      <c r="H88" s="265">
        <v>102</v>
      </c>
      <c r="I88" s="265">
        <v>2467345</v>
      </c>
      <c r="J88" s="265">
        <f t="shared" si="23"/>
        <v>24189.656862745098</v>
      </c>
      <c r="K88" s="265">
        <v>6953</v>
      </c>
      <c r="L88" s="265">
        <v>1783</v>
      </c>
      <c r="M88" s="266">
        <f t="shared" si="24"/>
        <v>0.7959020146520146</v>
      </c>
      <c r="N88" s="266">
        <f t="shared" si="25"/>
        <v>0.20409798534798534</v>
      </c>
      <c r="O88" s="265">
        <f t="shared" si="26"/>
        <v>8736</v>
      </c>
      <c r="P88" s="297">
        <v>1526</v>
      </c>
      <c r="Q88" s="265">
        <f t="shared" si="21"/>
        <v>10262</v>
      </c>
      <c r="R88" s="270">
        <v>3935</v>
      </c>
      <c r="S88" s="298">
        <f t="shared" si="27"/>
        <v>68.166666666666671</v>
      </c>
      <c r="T88" s="298">
        <f t="shared" si="28"/>
        <v>17.480392156862745</v>
      </c>
      <c r="U88" s="201">
        <f t="shared" si="29"/>
        <v>100.6078431372549</v>
      </c>
      <c r="V88" s="200" t="s">
        <v>736</v>
      </c>
    </row>
    <row r="89" spans="1:22" ht="14.5" x14ac:dyDescent="0.35">
      <c r="A89" s="190" t="s">
        <v>73</v>
      </c>
      <c r="B89" s="191" t="s">
        <v>107</v>
      </c>
      <c r="C89" s="191" t="s">
        <v>13</v>
      </c>
      <c r="D89" s="191" t="s">
        <v>10</v>
      </c>
      <c r="E89" s="94" t="str">
        <f>HYPERLINK("https://youtube.com/israelipm","https://youtube.com/israelipm")</f>
        <v>https://youtube.com/israelipm</v>
      </c>
      <c r="F89" s="249" t="s">
        <v>109</v>
      </c>
      <c r="G89" s="249" t="s">
        <v>12</v>
      </c>
      <c r="H89" s="265">
        <v>1681</v>
      </c>
      <c r="I89" s="265">
        <v>10589185</v>
      </c>
      <c r="J89" s="265">
        <f t="shared" si="23"/>
        <v>6299.3367043426533</v>
      </c>
      <c r="K89" s="265">
        <v>84584</v>
      </c>
      <c r="L89" s="265">
        <v>21448</v>
      </c>
      <c r="M89" s="266">
        <f t="shared" si="24"/>
        <v>0.79772144258337108</v>
      </c>
      <c r="N89" s="266">
        <f t="shared" si="25"/>
        <v>0.20227855741662895</v>
      </c>
      <c r="O89" s="265">
        <f t="shared" si="26"/>
        <v>106032</v>
      </c>
      <c r="P89" s="297">
        <v>24057</v>
      </c>
      <c r="Q89" s="265">
        <f t="shared" si="21"/>
        <v>130089</v>
      </c>
      <c r="R89" s="269">
        <v>24165</v>
      </c>
      <c r="S89" s="298">
        <f t="shared" si="27"/>
        <v>50.317668054729324</v>
      </c>
      <c r="T89" s="298">
        <f t="shared" si="28"/>
        <v>12.759071980963713</v>
      </c>
      <c r="U89" s="201">
        <f t="shared" si="29"/>
        <v>77.387864366448539</v>
      </c>
      <c r="V89" s="200" t="s">
        <v>736</v>
      </c>
    </row>
    <row r="90" spans="1:22" ht="14.5" x14ac:dyDescent="0.35">
      <c r="A90" s="190" t="s">
        <v>73</v>
      </c>
      <c r="B90" s="191" t="s">
        <v>107</v>
      </c>
      <c r="C90" s="191" t="s">
        <v>14</v>
      </c>
      <c r="D90" s="191" t="s">
        <v>10</v>
      </c>
      <c r="E90" s="94" t="str">
        <f>HYPERLINK("https://youtube.com/IsraelMFA","https://youtube.com/IsraelMFA")</f>
        <v>https://youtube.com/IsraelMFA</v>
      </c>
      <c r="F90" s="249" t="s">
        <v>398</v>
      </c>
      <c r="G90" s="249" t="s">
        <v>12</v>
      </c>
      <c r="H90" s="265">
        <v>248</v>
      </c>
      <c r="I90" s="265">
        <v>3196689</v>
      </c>
      <c r="J90" s="265">
        <f t="shared" si="23"/>
        <v>12889.875</v>
      </c>
      <c r="K90" s="265">
        <v>14906</v>
      </c>
      <c r="L90" s="265">
        <v>5336</v>
      </c>
      <c r="M90" s="266">
        <f t="shared" si="24"/>
        <v>0.73638968481375355</v>
      </c>
      <c r="N90" s="266">
        <f t="shared" si="25"/>
        <v>0.26361031518624639</v>
      </c>
      <c r="O90" s="265">
        <f t="shared" si="26"/>
        <v>20242</v>
      </c>
      <c r="P90" s="297">
        <v>8080</v>
      </c>
      <c r="Q90" s="265">
        <f t="shared" si="21"/>
        <v>28322</v>
      </c>
      <c r="R90" s="269">
        <v>7333</v>
      </c>
      <c r="S90" s="298">
        <f t="shared" si="27"/>
        <v>60.104838709677416</v>
      </c>
      <c r="T90" s="298">
        <f t="shared" si="28"/>
        <v>21.516129032258064</v>
      </c>
      <c r="U90" s="201">
        <f t="shared" si="29"/>
        <v>114.20161290322581</v>
      </c>
      <c r="V90" s="200" t="s">
        <v>735</v>
      </c>
    </row>
    <row r="91" spans="1:22" ht="14.5" x14ac:dyDescent="0.35">
      <c r="A91" s="190" t="s">
        <v>73</v>
      </c>
      <c r="B91" s="191" t="s">
        <v>107</v>
      </c>
      <c r="C91" s="191" t="s">
        <v>14</v>
      </c>
      <c r="D91" s="191" t="s">
        <v>10</v>
      </c>
      <c r="E91" s="93" t="s">
        <v>1150</v>
      </c>
      <c r="F91" s="249" t="s">
        <v>107</v>
      </c>
      <c r="G91" s="249" t="s">
        <v>12</v>
      </c>
      <c r="H91" s="265">
        <v>555</v>
      </c>
      <c r="I91" s="265">
        <v>9677548</v>
      </c>
      <c r="J91" s="265">
        <f t="shared" si="23"/>
        <v>17437.023423423423</v>
      </c>
      <c r="K91" s="265">
        <v>65092</v>
      </c>
      <c r="L91" s="265">
        <v>14032</v>
      </c>
      <c r="M91" s="266">
        <f t="shared" si="24"/>
        <v>0.82265810626358626</v>
      </c>
      <c r="N91" s="266">
        <f t="shared" si="25"/>
        <v>0.17734189373641374</v>
      </c>
      <c r="O91" s="265">
        <f t="shared" si="26"/>
        <v>79124</v>
      </c>
      <c r="P91" s="297">
        <v>3902</v>
      </c>
      <c r="Q91" s="265">
        <f t="shared" si="21"/>
        <v>83026</v>
      </c>
      <c r="R91" s="269">
        <v>113</v>
      </c>
      <c r="S91" s="298">
        <f t="shared" si="27"/>
        <v>117.28288288288289</v>
      </c>
      <c r="T91" s="298">
        <f t="shared" si="28"/>
        <v>25.282882882882884</v>
      </c>
      <c r="U91" s="201">
        <f t="shared" si="29"/>
        <v>149.59639639639639</v>
      </c>
      <c r="V91" s="200" t="s">
        <v>735</v>
      </c>
    </row>
    <row r="92" spans="1:22" ht="14.5" x14ac:dyDescent="0.35">
      <c r="A92" s="190" t="s">
        <v>73</v>
      </c>
      <c r="B92" s="191" t="s">
        <v>110</v>
      </c>
      <c r="C92" s="191" t="s">
        <v>13</v>
      </c>
      <c r="D92" s="191" t="s">
        <v>10</v>
      </c>
      <c r="E92" s="94" t="str">
        <f>HYPERLINK("https://youtube.com/kanteijp","https://youtube.com/kanteijp")</f>
        <v>https://youtube.com/kanteijp</v>
      </c>
      <c r="F92" s="249" t="s">
        <v>490</v>
      </c>
      <c r="G92" s="249" t="s">
        <v>12</v>
      </c>
      <c r="H92" s="265">
        <v>554</v>
      </c>
      <c r="I92" s="265">
        <v>3250395</v>
      </c>
      <c r="J92" s="265">
        <f t="shared" si="23"/>
        <v>5867.1389891696754</v>
      </c>
      <c r="K92" s="265">
        <v>0</v>
      </c>
      <c r="L92" s="265">
        <v>1</v>
      </c>
      <c r="M92" s="266">
        <f t="shared" si="24"/>
        <v>0</v>
      </c>
      <c r="N92" s="266">
        <f t="shared" si="25"/>
        <v>1</v>
      </c>
      <c r="O92" s="265">
        <f t="shared" si="26"/>
        <v>1</v>
      </c>
      <c r="P92" s="297">
        <v>0</v>
      </c>
      <c r="Q92" s="265">
        <f t="shared" si="21"/>
        <v>1</v>
      </c>
      <c r="R92" s="269">
        <v>17552</v>
      </c>
      <c r="S92" s="298">
        <f t="shared" si="27"/>
        <v>0</v>
      </c>
      <c r="T92" s="298">
        <f t="shared" si="28"/>
        <v>1.8050541516245488E-3</v>
      </c>
      <c r="U92" s="201">
        <f t="shared" si="29"/>
        <v>1.8050541516245488E-3</v>
      </c>
      <c r="V92" s="200" t="s">
        <v>736</v>
      </c>
    </row>
    <row r="93" spans="1:22" ht="14.5" x14ac:dyDescent="0.35">
      <c r="A93" s="190" t="s">
        <v>73</v>
      </c>
      <c r="B93" s="191" t="s">
        <v>110</v>
      </c>
      <c r="C93" s="191" t="s">
        <v>13</v>
      </c>
      <c r="D93" s="191" t="s">
        <v>10</v>
      </c>
      <c r="E93" s="94" t="str">
        <f>HYPERLINK("https://youtube.com/pmojapan","https://youtube.com/pmojapan")</f>
        <v>https://youtube.com/pmojapan</v>
      </c>
      <c r="F93" s="249" t="s">
        <v>111</v>
      </c>
      <c r="G93" s="249" t="s">
        <v>12</v>
      </c>
      <c r="H93" s="265">
        <v>111</v>
      </c>
      <c r="I93" s="265">
        <v>2173126</v>
      </c>
      <c r="J93" s="265">
        <f t="shared" si="23"/>
        <v>19577.711711711712</v>
      </c>
      <c r="K93" s="265">
        <v>53</v>
      </c>
      <c r="L93" s="265">
        <v>8</v>
      </c>
      <c r="M93" s="266">
        <f t="shared" si="24"/>
        <v>0.86885245901639341</v>
      </c>
      <c r="N93" s="266">
        <f t="shared" si="25"/>
        <v>0.13114754098360656</v>
      </c>
      <c r="O93" s="265">
        <f t="shared" si="26"/>
        <v>61</v>
      </c>
      <c r="P93" s="297">
        <v>2</v>
      </c>
      <c r="Q93" s="265">
        <f t="shared" si="21"/>
        <v>63</v>
      </c>
      <c r="R93" s="269">
        <v>1708</v>
      </c>
      <c r="S93" s="298">
        <f t="shared" si="27"/>
        <v>0.47747747747747749</v>
      </c>
      <c r="T93" s="298">
        <f t="shared" si="28"/>
        <v>7.2072072072072071E-2</v>
      </c>
      <c r="U93" s="201">
        <f t="shared" si="29"/>
        <v>0.56756756756756754</v>
      </c>
      <c r="V93" s="200" t="s">
        <v>735</v>
      </c>
    </row>
    <row r="94" spans="1:22" ht="14.5" x14ac:dyDescent="0.35">
      <c r="A94" s="190" t="s">
        <v>73</v>
      </c>
      <c r="B94" s="191" t="s">
        <v>112</v>
      </c>
      <c r="C94" s="191" t="s">
        <v>113</v>
      </c>
      <c r="D94" s="191" t="s">
        <v>5</v>
      </c>
      <c r="E94" s="94" t="str">
        <f>HYPERLINK("https://youtube.com/QueenRania","https://youtube.com/QueenRania")</f>
        <v>https://youtube.com/QueenRania</v>
      </c>
      <c r="F94" s="249" t="s">
        <v>115</v>
      </c>
      <c r="G94" s="249" t="s">
        <v>12</v>
      </c>
      <c r="H94" s="265">
        <v>144</v>
      </c>
      <c r="I94" s="265">
        <v>14163429</v>
      </c>
      <c r="J94" s="265">
        <f t="shared" si="23"/>
        <v>98357.145833333328</v>
      </c>
      <c r="K94" s="265">
        <v>33969</v>
      </c>
      <c r="L94" s="265">
        <v>3830</v>
      </c>
      <c r="M94" s="266">
        <f t="shared" si="24"/>
        <v>0.89867456811026747</v>
      </c>
      <c r="N94" s="266">
        <f t="shared" si="25"/>
        <v>0.10132543188973253</v>
      </c>
      <c r="O94" s="265">
        <f t="shared" si="26"/>
        <v>37799</v>
      </c>
      <c r="P94" s="297">
        <v>19</v>
      </c>
      <c r="Q94" s="265">
        <f t="shared" si="21"/>
        <v>37818</v>
      </c>
      <c r="R94" s="270">
        <v>43431</v>
      </c>
      <c r="S94" s="298">
        <f t="shared" si="27"/>
        <v>235.89583333333334</v>
      </c>
      <c r="T94" s="298">
        <f t="shared" si="28"/>
        <v>26.597222222222221</v>
      </c>
      <c r="U94" s="201">
        <f t="shared" si="29"/>
        <v>262.625</v>
      </c>
      <c r="V94" s="197" t="s">
        <v>736</v>
      </c>
    </row>
    <row r="95" spans="1:22" ht="14.5" x14ac:dyDescent="0.35">
      <c r="A95" s="190" t="s">
        <v>73</v>
      </c>
      <c r="B95" s="191" t="s">
        <v>112</v>
      </c>
      <c r="C95" s="191" t="s">
        <v>85</v>
      </c>
      <c r="D95" s="191" t="s">
        <v>10</v>
      </c>
      <c r="E95" s="94" t="str">
        <f>HYPERLINK("https://youtube.com/royalhashemitecourt","https://youtube.com/royalhashemitecourt")</f>
        <v>https://youtube.com/royalhashemitecourt</v>
      </c>
      <c r="F95" s="249" t="s">
        <v>338</v>
      </c>
      <c r="G95" s="249" t="s">
        <v>12</v>
      </c>
      <c r="H95" s="265">
        <v>296</v>
      </c>
      <c r="I95" s="265">
        <v>6253308</v>
      </c>
      <c r="J95" s="265">
        <f t="shared" si="23"/>
        <v>21126.04054054054</v>
      </c>
      <c r="K95" s="265">
        <v>40461</v>
      </c>
      <c r="L95" s="265">
        <v>2768</v>
      </c>
      <c r="M95" s="266">
        <f t="shared" si="24"/>
        <v>0.93596890975965208</v>
      </c>
      <c r="N95" s="266">
        <f t="shared" si="25"/>
        <v>6.4031090240347921E-2</v>
      </c>
      <c r="O95" s="265">
        <f t="shared" si="26"/>
        <v>43229</v>
      </c>
      <c r="P95" s="297">
        <v>5</v>
      </c>
      <c r="Q95" s="265">
        <f t="shared" si="21"/>
        <v>43234</v>
      </c>
      <c r="R95" s="269">
        <v>24718</v>
      </c>
      <c r="S95" s="298">
        <f t="shared" si="27"/>
        <v>136.69256756756758</v>
      </c>
      <c r="T95" s="298">
        <f t="shared" si="28"/>
        <v>9.3513513513513509</v>
      </c>
      <c r="U95" s="201">
        <f t="shared" si="29"/>
        <v>146.06081081081081</v>
      </c>
      <c r="V95" s="200" t="s">
        <v>735</v>
      </c>
    </row>
    <row r="96" spans="1:22" ht="14.5" x14ac:dyDescent="0.35">
      <c r="A96" s="190" t="s">
        <v>73</v>
      </c>
      <c r="B96" s="191" t="s">
        <v>112</v>
      </c>
      <c r="C96" s="191" t="s">
        <v>14</v>
      </c>
      <c r="D96" s="191" t="s">
        <v>10</v>
      </c>
      <c r="E96" s="98" t="s">
        <v>442</v>
      </c>
      <c r="F96" s="249" t="s">
        <v>578</v>
      </c>
      <c r="G96" s="249" t="s">
        <v>12</v>
      </c>
      <c r="H96" s="265">
        <v>18</v>
      </c>
      <c r="I96" s="265">
        <v>5117</v>
      </c>
      <c r="J96" s="265">
        <f t="shared" si="23"/>
        <v>284.27777777777777</v>
      </c>
      <c r="K96" s="265">
        <v>14</v>
      </c>
      <c r="L96" s="265">
        <v>1</v>
      </c>
      <c r="M96" s="266">
        <f t="shared" si="24"/>
        <v>0.93333333333333335</v>
      </c>
      <c r="N96" s="266">
        <f t="shared" si="25"/>
        <v>6.6666666666666666E-2</v>
      </c>
      <c r="O96" s="265">
        <f t="shared" si="26"/>
        <v>15</v>
      </c>
      <c r="P96" s="297">
        <v>4</v>
      </c>
      <c r="Q96" s="265">
        <f t="shared" si="21"/>
        <v>19</v>
      </c>
      <c r="R96" s="271">
        <v>38</v>
      </c>
      <c r="S96" s="298">
        <f t="shared" si="27"/>
        <v>0.77777777777777779</v>
      </c>
      <c r="T96" s="298">
        <f t="shared" si="28"/>
        <v>5.5555555555555552E-2</v>
      </c>
      <c r="U96" s="201">
        <f t="shared" si="29"/>
        <v>1.0555555555555556</v>
      </c>
      <c r="V96" s="200" t="s">
        <v>736</v>
      </c>
    </row>
    <row r="97" spans="1:22" ht="14.5" x14ac:dyDescent="0.35">
      <c r="A97" s="190" t="s">
        <v>73</v>
      </c>
      <c r="B97" s="191" t="s">
        <v>116</v>
      </c>
      <c r="C97" s="191" t="s">
        <v>9</v>
      </c>
      <c r="D97" s="191" t="s">
        <v>10</v>
      </c>
      <c r="E97" s="94" t="str">
        <f>HYPERLINK("https://youtube.com/akordapress","https://youtube.com/akordapress")</f>
        <v>https://youtube.com/akordapress</v>
      </c>
      <c r="F97" s="249" t="s">
        <v>609</v>
      </c>
      <c r="G97" s="249" t="s">
        <v>12</v>
      </c>
      <c r="H97" s="265">
        <v>56</v>
      </c>
      <c r="I97" s="265">
        <v>219865</v>
      </c>
      <c r="J97" s="265">
        <f t="shared" si="23"/>
        <v>3926.1607142857142</v>
      </c>
      <c r="K97" s="265">
        <v>0</v>
      </c>
      <c r="L97" s="265">
        <v>0</v>
      </c>
      <c r="M97" s="265">
        <v>0</v>
      </c>
      <c r="N97" s="265">
        <v>0</v>
      </c>
      <c r="O97" s="265">
        <v>0</v>
      </c>
      <c r="P97" s="297">
        <v>0</v>
      </c>
      <c r="Q97" s="265">
        <f t="shared" si="21"/>
        <v>0</v>
      </c>
      <c r="R97" s="269">
        <v>1399</v>
      </c>
      <c r="S97" s="298">
        <f t="shared" si="27"/>
        <v>0</v>
      </c>
      <c r="T97" s="298">
        <f t="shared" si="28"/>
        <v>0</v>
      </c>
      <c r="U97" s="201">
        <f t="shared" si="29"/>
        <v>0</v>
      </c>
      <c r="V97" s="200" t="s">
        <v>736</v>
      </c>
    </row>
    <row r="98" spans="1:22" ht="14.5" x14ac:dyDescent="0.35">
      <c r="A98" s="190" t="s">
        <v>73</v>
      </c>
      <c r="B98" s="191" t="s">
        <v>116</v>
      </c>
      <c r="C98" s="191" t="s">
        <v>7</v>
      </c>
      <c r="D98" s="191" t="s">
        <v>5</v>
      </c>
      <c r="E98" s="95" t="s">
        <v>443</v>
      </c>
      <c r="F98" s="249" t="s">
        <v>600</v>
      </c>
      <c r="G98" s="249" t="s">
        <v>6</v>
      </c>
      <c r="H98" s="265">
        <v>651</v>
      </c>
      <c r="I98" s="265">
        <v>462403</v>
      </c>
      <c r="J98" s="265">
        <f t="shared" si="23"/>
        <v>710.29646697388637</v>
      </c>
      <c r="K98" s="265">
        <v>651</v>
      </c>
      <c r="L98" s="265">
        <v>67</v>
      </c>
      <c r="M98" s="266">
        <f t="shared" ref="M98:M108" si="30">SUM(K98)/O98</f>
        <v>0.90668523676880219</v>
      </c>
      <c r="N98" s="266">
        <f t="shared" ref="N98:N108" si="31">SUM(L98)/O98</f>
        <v>9.3314763231197778E-2</v>
      </c>
      <c r="O98" s="265">
        <f t="shared" ref="O98:O108" si="32">SUM(K98:L98)</f>
        <v>718</v>
      </c>
      <c r="P98" s="297">
        <v>93</v>
      </c>
      <c r="Q98" s="265">
        <f t="shared" si="21"/>
        <v>811</v>
      </c>
      <c r="R98" s="299">
        <v>344</v>
      </c>
      <c r="S98" s="298">
        <f t="shared" si="27"/>
        <v>1</v>
      </c>
      <c r="T98" s="298">
        <f t="shared" si="28"/>
        <v>0.10291858678955453</v>
      </c>
      <c r="U98" s="201">
        <f t="shared" si="29"/>
        <v>1.2457757296466974</v>
      </c>
      <c r="V98" s="200" t="s">
        <v>736</v>
      </c>
    </row>
    <row r="99" spans="1:22" ht="14.5" x14ac:dyDescent="0.35">
      <c r="A99" s="190" t="s">
        <v>73</v>
      </c>
      <c r="B99" s="191" t="s">
        <v>116</v>
      </c>
      <c r="C99" s="191" t="s">
        <v>9</v>
      </c>
      <c r="D99" s="191" t="s">
        <v>10</v>
      </c>
      <c r="E99" s="93" t="s">
        <v>117</v>
      </c>
      <c r="F99" s="249" t="s">
        <v>580</v>
      </c>
      <c r="G99" s="249" t="s">
        <v>12</v>
      </c>
      <c r="H99" s="265">
        <v>1070</v>
      </c>
      <c r="I99" s="265">
        <v>280450</v>
      </c>
      <c r="J99" s="265">
        <f t="shared" si="23"/>
        <v>262.10280373831773</v>
      </c>
      <c r="K99" s="265">
        <v>1183</v>
      </c>
      <c r="L99" s="265">
        <v>128</v>
      </c>
      <c r="M99" s="266">
        <f t="shared" si="30"/>
        <v>0.90236460717009914</v>
      </c>
      <c r="N99" s="266">
        <f t="shared" si="31"/>
        <v>9.7635392829900844E-2</v>
      </c>
      <c r="O99" s="265">
        <f t="shared" si="32"/>
        <v>1311</v>
      </c>
      <c r="P99" s="297">
        <v>99</v>
      </c>
      <c r="Q99" s="265">
        <f t="shared" si="21"/>
        <v>1410</v>
      </c>
      <c r="R99" s="270">
        <v>642</v>
      </c>
      <c r="S99" s="298">
        <f t="shared" si="27"/>
        <v>1.105607476635514</v>
      </c>
      <c r="T99" s="298">
        <f t="shared" si="28"/>
        <v>0.11962616822429907</v>
      </c>
      <c r="U99" s="201">
        <f t="shared" si="29"/>
        <v>1.3177570093457944</v>
      </c>
      <c r="V99" s="200" t="s">
        <v>736</v>
      </c>
    </row>
    <row r="100" spans="1:22" ht="14.5" x14ac:dyDescent="0.35">
      <c r="A100" s="190" t="s">
        <v>73</v>
      </c>
      <c r="B100" s="191" t="s">
        <v>116</v>
      </c>
      <c r="C100" s="191" t="s">
        <v>9</v>
      </c>
      <c r="D100" s="191" t="s">
        <v>10</v>
      </c>
      <c r="E100" s="93" t="s">
        <v>118</v>
      </c>
      <c r="F100" s="249" t="s">
        <v>534</v>
      </c>
      <c r="G100" s="249" t="s">
        <v>6</v>
      </c>
      <c r="H100" s="265">
        <v>10</v>
      </c>
      <c r="I100" s="265">
        <v>6374</v>
      </c>
      <c r="J100" s="265">
        <f t="shared" si="23"/>
        <v>637.4</v>
      </c>
      <c r="K100" s="265">
        <v>15</v>
      </c>
      <c r="L100" s="265">
        <v>1</v>
      </c>
      <c r="M100" s="266">
        <f t="shared" si="30"/>
        <v>0.9375</v>
      </c>
      <c r="N100" s="266">
        <f t="shared" si="31"/>
        <v>6.25E-2</v>
      </c>
      <c r="O100" s="265">
        <f t="shared" si="32"/>
        <v>16</v>
      </c>
      <c r="P100" s="297">
        <v>1</v>
      </c>
      <c r="Q100" s="265">
        <f t="shared" si="21"/>
        <v>17</v>
      </c>
      <c r="R100" s="270">
        <v>5</v>
      </c>
      <c r="S100" s="298">
        <f t="shared" si="27"/>
        <v>1.5</v>
      </c>
      <c r="T100" s="298">
        <f t="shared" si="28"/>
        <v>0.1</v>
      </c>
      <c r="U100" s="201">
        <f t="shared" si="29"/>
        <v>1.7</v>
      </c>
      <c r="V100" s="200" t="s">
        <v>736</v>
      </c>
    </row>
    <row r="101" spans="1:22" ht="14.5" x14ac:dyDescent="0.35">
      <c r="A101" s="190" t="s">
        <v>73</v>
      </c>
      <c r="B101" s="191" t="s">
        <v>116</v>
      </c>
      <c r="C101" s="191" t="s">
        <v>7</v>
      </c>
      <c r="D101" s="191" t="s">
        <v>5</v>
      </c>
      <c r="E101" s="93" t="s">
        <v>428</v>
      </c>
      <c r="F101" s="249" t="s">
        <v>491</v>
      </c>
      <c r="G101" s="249" t="s">
        <v>6</v>
      </c>
      <c r="H101" s="265">
        <v>733</v>
      </c>
      <c r="I101" s="265">
        <v>671843</v>
      </c>
      <c r="J101" s="265">
        <f t="shared" si="23"/>
        <v>916.56616643929055</v>
      </c>
      <c r="K101" s="265">
        <v>1312</v>
      </c>
      <c r="L101" s="265">
        <v>268</v>
      </c>
      <c r="M101" s="266">
        <f t="shared" si="30"/>
        <v>0.83037974683544302</v>
      </c>
      <c r="N101" s="266">
        <f t="shared" si="31"/>
        <v>0.16962025316455695</v>
      </c>
      <c r="O101" s="265">
        <f t="shared" si="32"/>
        <v>1580</v>
      </c>
      <c r="P101" s="297">
        <v>261</v>
      </c>
      <c r="Q101" s="265">
        <f t="shared" si="21"/>
        <v>1841</v>
      </c>
      <c r="R101" s="270">
        <v>609</v>
      </c>
      <c r="S101" s="298">
        <f t="shared" si="27"/>
        <v>1.7899045020463846</v>
      </c>
      <c r="T101" s="298">
        <f t="shared" si="28"/>
        <v>0.36562073669849932</v>
      </c>
      <c r="U101" s="201">
        <f t="shared" si="29"/>
        <v>2.5115961800818556</v>
      </c>
      <c r="V101" s="200" t="s">
        <v>736</v>
      </c>
    </row>
    <row r="102" spans="1:22" ht="14.5" x14ac:dyDescent="0.35">
      <c r="A102" s="190" t="s">
        <v>73</v>
      </c>
      <c r="B102" s="191" t="s">
        <v>116</v>
      </c>
      <c r="C102" s="191" t="s">
        <v>13</v>
      </c>
      <c r="D102" s="191" t="s">
        <v>10</v>
      </c>
      <c r="E102" s="94" t="str">
        <f>HYPERLINK("https://youtube.com/primeministerkz","https://youtube.com/primeministerkz")</f>
        <v>https://youtube.com/primeministerkz</v>
      </c>
      <c r="F102" s="249" t="s">
        <v>331</v>
      </c>
      <c r="G102" s="249" t="s">
        <v>12</v>
      </c>
      <c r="H102" s="265">
        <v>323</v>
      </c>
      <c r="I102" s="265">
        <v>205768</v>
      </c>
      <c r="J102" s="265">
        <f t="shared" si="23"/>
        <v>637.0526315789474</v>
      </c>
      <c r="K102" s="265">
        <v>763</v>
      </c>
      <c r="L102" s="265">
        <v>96</v>
      </c>
      <c r="M102" s="266">
        <f t="shared" si="30"/>
        <v>0.88824214202561114</v>
      </c>
      <c r="N102" s="266">
        <f t="shared" si="31"/>
        <v>0.11175785797438882</v>
      </c>
      <c r="O102" s="265">
        <f t="shared" si="32"/>
        <v>859</v>
      </c>
      <c r="P102" s="297">
        <v>86</v>
      </c>
      <c r="Q102" s="265">
        <f t="shared" si="21"/>
        <v>945</v>
      </c>
      <c r="R102" s="269">
        <v>191</v>
      </c>
      <c r="S102" s="298">
        <f t="shared" si="27"/>
        <v>2.3622291021671828</v>
      </c>
      <c r="T102" s="298">
        <f t="shared" si="28"/>
        <v>0.29721362229102166</v>
      </c>
      <c r="U102" s="201">
        <f t="shared" si="29"/>
        <v>2.9256965944272446</v>
      </c>
      <c r="V102" s="197" t="s">
        <v>736</v>
      </c>
    </row>
    <row r="103" spans="1:22" ht="14.5" x14ac:dyDescent="0.35">
      <c r="A103" s="190" t="s">
        <v>73</v>
      </c>
      <c r="B103" s="191" t="s">
        <v>116</v>
      </c>
      <c r="C103" s="191" t="s">
        <v>14</v>
      </c>
      <c r="D103" s="191" t="s">
        <v>10</v>
      </c>
      <c r="E103" s="94" t="str">
        <f>HYPERLINK("https://youtube.com/foreignministry","https://youtube.com/foreignministry")</f>
        <v>https://youtube.com/foreignministry</v>
      </c>
      <c r="F103" s="249" t="s">
        <v>394</v>
      </c>
      <c r="G103" s="249" t="s">
        <v>12</v>
      </c>
      <c r="H103" s="265">
        <v>133</v>
      </c>
      <c r="I103" s="265">
        <v>308179</v>
      </c>
      <c r="J103" s="265">
        <f t="shared" si="23"/>
        <v>2317.1353383458645</v>
      </c>
      <c r="K103" s="265">
        <v>1536</v>
      </c>
      <c r="L103" s="265">
        <v>89</v>
      </c>
      <c r="M103" s="266">
        <f t="shared" si="30"/>
        <v>0.94523076923076921</v>
      </c>
      <c r="N103" s="266">
        <f t="shared" si="31"/>
        <v>5.4769230769230771E-2</v>
      </c>
      <c r="O103" s="265">
        <f t="shared" si="32"/>
        <v>1625</v>
      </c>
      <c r="P103" s="297">
        <v>253</v>
      </c>
      <c r="Q103" s="265">
        <f t="shared" si="21"/>
        <v>1878</v>
      </c>
      <c r="R103" s="269">
        <v>682</v>
      </c>
      <c r="S103" s="298">
        <f t="shared" si="27"/>
        <v>11.548872180451127</v>
      </c>
      <c r="T103" s="298">
        <f t="shared" si="28"/>
        <v>0.66917293233082709</v>
      </c>
      <c r="U103" s="201">
        <f t="shared" si="29"/>
        <v>14.1203007518797</v>
      </c>
      <c r="V103" s="200" t="s">
        <v>736</v>
      </c>
    </row>
    <row r="104" spans="1:22" ht="14.5" x14ac:dyDescent="0.35">
      <c r="A104" s="190" t="s">
        <v>73</v>
      </c>
      <c r="B104" s="191" t="s">
        <v>119</v>
      </c>
      <c r="C104" s="191" t="s">
        <v>14</v>
      </c>
      <c r="D104" s="191" t="s">
        <v>10</v>
      </c>
      <c r="E104" s="93" t="s">
        <v>120</v>
      </c>
      <c r="F104" s="249" t="s">
        <v>571</v>
      </c>
      <c r="G104" s="249" t="s">
        <v>6</v>
      </c>
      <c r="H104" s="265">
        <v>16</v>
      </c>
      <c r="I104" s="265">
        <v>10762</v>
      </c>
      <c r="J104" s="265">
        <f t="shared" si="23"/>
        <v>672.625</v>
      </c>
      <c r="K104" s="265">
        <v>29</v>
      </c>
      <c r="L104" s="265">
        <v>1</v>
      </c>
      <c r="M104" s="266">
        <f t="shared" si="30"/>
        <v>0.96666666666666667</v>
      </c>
      <c r="N104" s="266">
        <f t="shared" si="31"/>
        <v>3.3333333333333333E-2</v>
      </c>
      <c r="O104" s="265">
        <f t="shared" si="32"/>
        <v>30</v>
      </c>
      <c r="P104" s="297">
        <v>1</v>
      </c>
      <c r="Q104" s="265">
        <f t="shared" si="21"/>
        <v>31</v>
      </c>
      <c r="R104" s="270">
        <v>21</v>
      </c>
      <c r="S104" s="298">
        <f t="shared" si="27"/>
        <v>1.8125</v>
      </c>
      <c r="T104" s="298">
        <f t="shared" si="28"/>
        <v>6.25E-2</v>
      </c>
      <c r="U104" s="201">
        <f t="shared" si="29"/>
        <v>1.9375</v>
      </c>
      <c r="V104" s="200" t="s">
        <v>736</v>
      </c>
    </row>
    <row r="105" spans="1:22" ht="14.5" x14ac:dyDescent="0.35">
      <c r="A105" s="190" t="s">
        <v>73</v>
      </c>
      <c r="B105" s="191" t="s">
        <v>121</v>
      </c>
      <c r="C105" s="191" t="s">
        <v>4</v>
      </c>
      <c r="D105" s="191" t="s">
        <v>10</v>
      </c>
      <c r="E105" s="94" t="str">
        <f>HYPERLINK("https://youtube.com/presidentkg","https://youtube.com/presidentkg")</f>
        <v>https://youtube.com/presidentkg</v>
      </c>
      <c r="F105" s="249" t="s">
        <v>535</v>
      </c>
      <c r="G105" s="249" t="s">
        <v>12</v>
      </c>
      <c r="H105" s="265">
        <v>144</v>
      </c>
      <c r="I105" s="265">
        <v>156766</v>
      </c>
      <c r="J105" s="265">
        <f t="shared" si="23"/>
        <v>1088.6527777777778</v>
      </c>
      <c r="K105" s="265">
        <v>604</v>
      </c>
      <c r="L105" s="265">
        <v>102</v>
      </c>
      <c r="M105" s="266">
        <f t="shared" si="30"/>
        <v>0.85552407932011332</v>
      </c>
      <c r="N105" s="266">
        <f t="shared" si="31"/>
        <v>0.14447592067988668</v>
      </c>
      <c r="O105" s="265">
        <f t="shared" si="32"/>
        <v>706</v>
      </c>
      <c r="P105" s="297">
        <v>64</v>
      </c>
      <c r="Q105" s="265">
        <f t="shared" si="21"/>
        <v>770</v>
      </c>
      <c r="R105" s="269">
        <v>409</v>
      </c>
      <c r="S105" s="298">
        <f t="shared" si="27"/>
        <v>4.1944444444444446</v>
      </c>
      <c r="T105" s="298">
        <f t="shared" si="28"/>
        <v>0.70833333333333337</v>
      </c>
      <c r="U105" s="201">
        <f t="shared" si="29"/>
        <v>5.3472222222222223</v>
      </c>
      <c r="V105" s="197" t="s">
        <v>736</v>
      </c>
    </row>
    <row r="106" spans="1:22" ht="14.5" x14ac:dyDescent="0.35">
      <c r="A106" s="190" t="s">
        <v>73</v>
      </c>
      <c r="B106" s="191" t="s">
        <v>122</v>
      </c>
      <c r="C106" s="197" t="s">
        <v>7</v>
      </c>
      <c r="D106" s="191" t="s">
        <v>5</v>
      </c>
      <c r="E106" s="93" t="s">
        <v>123</v>
      </c>
      <c r="F106" s="249" t="s">
        <v>492</v>
      </c>
      <c r="G106" s="249" t="s">
        <v>6</v>
      </c>
      <c r="H106" s="265">
        <v>5</v>
      </c>
      <c r="I106" s="265">
        <v>940</v>
      </c>
      <c r="J106" s="265">
        <f t="shared" si="23"/>
        <v>188</v>
      </c>
      <c r="K106" s="265">
        <v>3</v>
      </c>
      <c r="L106" s="265">
        <v>0</v>
      </c>
      <c r="M106" s="266">
        <f t="shared" si="30"/>
        <v>1</v>
      </c>
      <c r="N106" s="266">
        <f t="shared" si="31"/>
        <v>0</v>
      </c>
      <c r="O106" s="265">
        <f t="shared" si="32"/>
        <v>3</v>
      </c>
      <c r="P106" s="297">
        <v>0</v>
      </c>
      <c r="Q106" s="265">
        <f t="shared" si="21"/>
        <v>3</v>
      </c>
      <c r="R106" s="270">
        <v>15</v>
      </c>
      <c r="S106" s="298">
        <f t="shared" si="27"/>
        <v>0.6</v>
      </c>
      <c r="T106" s="298">
        <f t="shared" si="28"/>
        <v>0</v>
      </c>
      <c r="U106" s="201">
        <f t="shared" si="29"/>
        <v>0.6</v>
      </c>
      <c r="V106" s="197" t="s">
        <v>736</v>
      </c>
    </row>
    <row r="107" spans="1:22" ht="14.5" x14ac:dyDescent="0.35">
      <c r="A107" s="198" t="s">
        <v>73</v>
      </c>
      <c r="B107" s="193" t="s">
        <v>122</v>
      </c>
      <c r="C107" s="193" t="s">
        <v>29</v>
      </c>
      <c r="D107" s="191" t="s">
        <v>5</v>
      </c>
      <c r="E107" s="93" t="s">
        <v>444</v>
      </c>
      <c r="F107" s="249" t="s">
        <v>536</v>
      </c>
      <c r="G107" s="249" t="s">
        <v>12</v>
      </c>
      <c r="H107" s="265">
        <v>49</v>
      </c>
      <c r="I107" s="265">
        <v>22545</v>
      </c>
      <c r="J107" s="265">
        <f t="shared" si="23"/>
        <v>460.10204081632651</v>
      </c>
      <c r="K107" s="265">
        <v>90</v>
      </c>
      <c r="L107" s="265">
        <v>12</v>
      </c>
      <c r="M107" s="266">
        <f t="shared" si="30"/>
        <v>0.88235294117647056</v>
      </c>
      <c r="N107" s="266">
        <f t="shared" si="31"/>
        <v>0.11764705882352941</v>
      </c>
      <c r="O107" s="265">
        <f t="shared" si="32"/>
        <v>102</v>
      </c>
      <c r="P107" s="297">
        <v>15</v>
      </c>
      <c r="Q107" s="265">
        <f t="shared" si="21"/>
        <v>117</v>
      </c>
      <c r="R107" s="270">
        <v>71</v>
      </c>
      <c r="S107" s="298">
        <f t="shared" si="27"/>
        <v>1.8367346938775511</v>
      </c>
      <c r="T107" s="298">
        <f t="shared" si="28"/>
        <v>0.24489795918367346</v>
      </c>
      <c r="U107" s="201">
        <f t="shared" si="29"/>
        <v>2.3877551020408165</v>
      </c>
      <c r="V107" s="200" t="s">
        <v>736</v>
      </c>
    </row>
    <row r="108" spans="1:22" ht="14.5" x14ac:dyDescent="0.35">
      <c r="A108" s="190" t="s">
        <v>73</v>
      </c>
      <c r="B108" s="191" t="s">
        <v>124</v>
      </c>
      <c r="C108" s="191" t="s">
        <v>7</v>
      </c>
      <c r="D108" s="191" t="s">
        <v>5</v>
      </c>
      <c r="E108" s="94" t="str">
        <f>HYPERLINK("https://youtube.com/NajibRazak","https://youtube.com/NajibRazak")</f>
        <v>https://youtube.com/NajibRazak</v>
      </c>
      <c r="F108" s="249" t="s">
        <v>125</v>
      </c>
      <c r="G108" s="249" t="s">
        <v>12</v>
      </c>
      <c r="H108" s="265">
        <v>1395</v>
      </c>
      <c r="I108" s="265">
        <v>3605294</v>
      </c>
      <c r="J108" s="265">
        <f t="shared" si="23"/>
        <v>2584.4401433691755</v>
      </c>
      <c r="K108" s="265">
        <v>3378</v>
      </c>
      <c r="L108" s="265">
        <v>3975</v>
      </c>
      <c r="M108" s="266">
        <f t="shared" si="30"/>
        <v>0.45940432476540188</v>
      </c>
      <c r="N108" s="266">
        <f t="shared" si="31"/>
        <v>0.54059567523459817</v>
      </c>
      <c r="O108" s="265">
        <f t="shared" si="32"/>
        <v>7353</v>
      </c>
      <c r="P108" s="297">
        <v>1234</v>
      </c>
      <c r="Q108" s="265">
        <f t="shared" si="21"/>
        <v>8587</v>
      </c>
      <c r="R108" s="269">
        <v>7593</v>
      </c>
      <c r="S108" s="298">
        <f t="shared" si="27"/>
        <v>2.4215053763440859</v>
      </c>
      <c r="T108" s="298">
        <f t="shared" si="28"/>
        <v>2.849462365591398</v>
      </c>
      <c r="U108" s="201">
        <f t="shared" si="29"/>
        <v>6.1555555555555559</v>
      </c>
      <c r="V108" s="200" t="s">
        <v>735</v>
      </c>
    </row>
    <row r="109" spans="1:22" ht="14.5" x14ac:dyDescent="0.35">
      <c r="A109" s="190" t="s">
        <v>73</v>
      </c>
      <c r="B109" s="191" t="s">
        <v>124</v>
      </c>
      <c r="C109" s="191" t="s">
        <v>13</v>
      </c>
      <c r="D109" s="191" t="s">
        <v>10</v>
      </c>
      <c r="E109" s="94" t="str">
        <f>HYPERLINK("https://youtube.com/PejabatPM","https://youtube.com/PejabatPM")</f>
        <v>https://youtube.com/PejabatPM</v>
      </c>
      <c r="F109" s="249" t="s">
        <v>370</v>
      </c>
      <c r="G109" s="249" t="s">
        <v>738</v>
      </c>
      <c r="H109" s="300">
        <v>0</v>
      </c>
      <c r="I109" s="300">
        <v>0</v>
      </c>
      <c r="J109" s="265">
        <v>0</v>
      </c>
      <c r="K109" s="300">
        <v>0</v>
      </c>
      <c r="L109" s="300">
        <v>0</v>
      </c>
      <c r="M109" s="265">
        <v>0</v>
      </c>
      <c r="N109" s="265">
        <v>0</v>
      </c>
      <c r="O109" s="265">
        <v>0</v>
      </c>
      <c r="P109" s="301">
        <v>0</v>
      </c>
      <c r="Q109" s="265">
        <f t="shared" si="21"/>
        <v>0</v>
      </c>
      <c r="R109" s="269">
        <v>20</v>
      </c>
      <c r="S109" s="300">
        <v>0</v>
      </c>
      <c r="T109" s="300">
        <v>0</v>
      </c>
      <c r="U109" s="300">
        <v>0</v>
      </c>
      <c r="V109" s="200" t="s">
        <v>736</v>
      </c>
    </row>
    <row r="110" spans="1:22" ht="14.5" x14ac:dyDescent="0.35">
      <c r="A110" s="190" t="s">
        <v>73</v>
      </c>
      <c r="B110" s="191" t="s">
        <v>124</v>
      </c>
      <c r="C110" s="191" t="s">
        <v>14</v>
      </c>
      <c r="D110" s="193" t="s">
        <v>10</v>
      </c>
      <c r="E110" s="259" t="s">
        <v>445</v>
      </c>
      <c r="F110" s="249" t="s">
        <v>493</v>
      </c>
      <c r="G110" s="249" t="s">
        <v>12</v>
      </c>
      <c r="H110" s="265">
        <v>20</v>
      </c>
      <c r="I110" s="265">
        <v>4978</v>
      </c>
      <c r="J110" s="265">
        <f t="shared" ref="J110:J141" si="33">SUM(I110/H110)</f>
        <v>248.9</v>
      </c>
      <c r="K110" s="265">
        <v>29</v>
      </c>
      <c r="L110" s="265">
        <v>2</v>
      </c>
      <c r="M110" s="266">
        <f>SUM(K110)/O110</f>
        <v>0.93548387096774188</v>
      </c>
      <c r="N110" s="266">
        <f>SUM(L110)/O110</f>
        <v>6.4516129032258063E-2</v>
      </c>
      <c r="O110" s="265">
        <f>SUM(K110:L110)</f>
        <v>31</v>
      </c>
      <c r="P110" s="297">
        <v>5</v>
      </c>
      <c r="Q110" s="265">
        <f t="shared" si="21"/>
        <v>36</v>
      </c>
      <c r="R110" s="271">
        <v>39</v>
      </c>
      <c r="S110" s="298">
        <f t="shared" ref="S110:S141" si="34">SUM(K110)/H110</f>
        <v>1.45</v>
      </c>
      <c r="T110" s="298">
        <f t="shared" ref="T110:T141" si="35">SUM(L110)/H110</f>
        <v>0.1</v>
      </c>
      <c r="U110" s="201">
        <f t="shared" ref="U110:U141" si="36">SUM(Q110)/(H110)</f>
        <v>1.8</v>
      </c>
      <c r="V110" s="200" t="s">
        <v>736</v>
      </c>
    </row>
    <row r="111" spans="1:22" ht="14.5" x14ac:dyDescent="0.35">
      <c r="A111" s="190" t="s">
        <v>73</v>
      </c>
      <c r="B111" s="191" t="s">
        <v>126</v>
      </c>
      <c r="C111" s="191" t="s">
        <v>9</v>
      </c>
      <c r="D111" s="191" t="s">
        <v>10</v>
      </c>
      <c r="E111" s="94" t="str">
        <f>HYPERLINK("https://youtube.com/presidencymv","https://youtube.com/presidencymv")</f>
        <v>https://youtube.com/presidencymv</v>
      </c>
      <c r="F111" s="249" t="s">
        <v>127</v>
      </c>
      <c r="G111" s="249" t="s">
        <v>12</v>
      </c>
      <c r="H111" s="265">
        <v>738</v>
      </c>
      <c r="I111" s="265">
        <v>61603</v>
      </c>
      <c r="J111" s="265">
        <f t="shared" si="33"/>
        <v>83.472899728997291</v>
      </c>
      <c r="K111" s="265">
        <v>148</v>
      </c>
      <c r="L111" s="265">
        <v>29</v>
      </c>
      <c r="M111" s="266">
        <f>SUM(K111)/O111</f>
        <v>0.83615819209039544</v>
      </c>
      <c r="N111" s="266">
        <f>SUM(L111)/O111</f>
        <v>0.16384180790960451</v>
      </c>
      <c r="O111" s="265">
        <f>SUM(K111:L111)</f>
        <v>177</v>
      </c>
      <c r="P111" s="297">
        <v>13</v>
      </c>
      <c r="Q111" s="265">
        <f t="shared" si="21"/>
        <v>190</v>
      </c>
      <c r="R111" s="269">
        <v>195</v>
      </c>
      <c r="S111" s="298">
        <f t="shared" si="34"/>
        <v>0.20054200542005421</v>
      </c>
      <c r="T111" s="298">
        <f t="shared" si="35"/>
        <v>3.9295392953929538E-2</v>
      </c>
      <c r="U111" s="201">
        <f t="shared" si="36"/>
        <v>0.25745257452574527</v>
      </c>
      <c r="V111" s="197" t="s">
        <v>736</v>
      </c>
    </row>
    <row r="112" spans="1:22" ht="14.5" x14ac:dyDescent="0.35">
      <c r="A112" s="190" t="s">
        <v>73</v>
      </c>
      <c r="B112" s="191" t="s">
        <v>129</v>
      </c>
      <c r="C112" s="191" t="s">
        <v>4</v>
      </c>
      <c r="D112" s="191" t="s">
        <v>5</v>
      </c>
      <c r="E112" s="94" t="str">
        <f>HYPERLINK("https://youtube.com/presidentElbegdorj","https://youtube.com/presidentElbegdorj")</f>
        <v>https://youtube.com/presidentElbegdorj</v>
      </c>
      <c r="F112" s="249" t="s">
        <v>130</v>
      </c>
      <c r="G112" s="249" t="s">
        <v>12</v>
      </c>
      <c r="H112" s="265">
        <v>536</v>
      </c>
      <c r="I112" s="265">
        <v>1056704</v>
      </c>
      <c r="J112" s="265">
        <f t="shared" si="33"/>
        <v>1971.4626865671642</v>
      </c>
      <c r="K112" s="265">
        <v>5199</v>
      </c>
      <c r="L112" s="265">
        <v>860</v>
      </c>
      <c r="M112" s="266">
        <f>SUM(K112)/O112</f>
        <v>0.85806238653243105</v>
      </c>
      <c r="N112" s="266">
        <f>SUM(L112)/O112</f>
        <v>0.14193761346756892</v>
      </c>
      <c r="O112" s="265">
        <f>SUM(K112:L112)</f>
        <v>6059</v>
      </c>
      <c r="P112" s="297">
        <v>1452</v>
      </c>
      <c r="Q112" s="265">
        <f t="shared" si="21"/>
        <v>7511</v>
      </c>
      <c r="R112" s="269">
        <v>3110</v>
      </c>
      <c r="S112" s="298">
        <f t="shared" si="34"/>
        <v>9.6996268656716413</v>
      </c>
      <c r="T112" s="298">
        <f t="shared" si="35"/>
        <v>1.6044776119402986</v>
      </c>
      <c r="U112" s="201">
        <f t="shared" si="36"/>
        <v>14.013059701492537</v>
      </c>
      <c r="V112" s="197" t="s">
        <v>736</v>
      </c>
    </row>
    <row r="113" spans="1:49" ht="14.5" x14ac:dyDescent="0.35">
      <c r="A113" s="190" t="s">
        <v>73</v>
      </c>
      <c r="B113" s="191" t="s">
        <v>129</v>
      </c>
      <c r="C113" s="191" t="s">
        <v>13</v>
      </c>
      <c r="D113" s="191" t="s">
        <v>10</v>
      </c>
      <c r="E113" s="94" t="str">
        <f>HYPERLINK("https://youtube.com/TheZasag","https://youtube.com/TheZasag")</f>
        <v>https://youtube.com/TheZasag</v>
      </c>
      <c r="F113" s="249" t="s">
        <v>357</v>
      </c>
      <c r="G113" s="249" t="s">
        <v>6</v>
      </c>
      <c r="H113" s="265">
        <v>32</v>
      </c>
      <c r="I113" s="265">
        <v>605</v>
      </c>
      <c r="J113" s="265">
        <f t="shared" si="33"/>
        <v>18.90625</v>
      </c>
      <c r="K113" s="265">
        <v>0</v>
      </c>
      <c r="L113" s="265">
        <v>0</v>
      </c>
      <c r="M113" s="265">
        <v>0</v>
      </c>
      <c r="N113" s="265">
        <v>0</v>
      </c>
      <c r="O113" s="265">
        <v>0</v>
      </c>
      <c r="P113" s="297">
        <v>0</v>
      </c>
      <c r="Q113" s="265">
        <f t="shared" si="21"/>
        <v>0</v>
      </c>
      <c r="R113" s="269">
        <v>8</v>
      </c>
      <c r="S113" s="298">
        <f t="shared" si="34"/>
        <v>0</v>
      </c>
      <c r="T113" s="298">
        <f t="shared" si="35"/>
        <v>0</v>
      </c>
      <c r="U113" s="201">
        <f t="shared" si="36"/>
        <v>0</v>
      </c>
      <c r="V113" s="197" t="s">
        <v>736</v>
      </c>
    </row>
    <row r="114" spans="1:49" ht="14.5" x14ac:dyDescent="0.35">
      <c r="A114" s="190" t="s">
        <v>73</v>
      </c>
      <c r="B114" s="191" t="s">
        <v>129</v>
      </c>
      <c r="C114" s="191" t="s">
        <v>29</v>
      </c>
      <c r="D114" s="191" t="s">
        <v>5</v>
      </c>
      <c r="E114" s="93" t="s">
        <v>131</v>
      </c>
      <c r="F114" s="249" t="s">
        <v>551</v>
      </c>
      <c r="G114" s="249" t="s">
        <v>6</v>
      </c>
      <c r="H114" s="265">
        <v>4</v>
      </c>
      <c r="I114" s="265">
        <v>592</v>
      </c>
      <c r="J114" s="265">
        <f t="shared" si="33"/>
        <v>148</v>
      </c>
      <c r="K114" s="265">
        <v>2</v>
      </c>
      <c r="L114" s="265">
        <v>0</v>
      </c>
      <c r="M114" s="266">
        <f t="shared" ref="M114:M133" si="37">SUM(K114)/O114</f>
        <v>1</v>
      </c>
      <c r="N114" s="266">
        <f t="shared" ref="N114:N133" si="38">SUM(L114)/O114</f>
        <v>0</v>
      </c>
      <c r="O114" s="265">
        <f t="shared" ref="O114:O133" si="39">SUM(K114:L114)</f>
        <v>2</v>
      </c>
      <c r="P114" s="297">
        <v>1</v>
      </c>
      <c r="Q114" s="265">
        <f t="shared" si="21"/>
        <v>3</v>
      </c>
      <c r="R114" s="270">
        <v>4</v>
      </c>
      <c r="S114" s="298">
        <f t="shared" si="34"/>
        <v>0.5</v>
      </c>
      <c r="T114" s="298">
        <f t="shared" si="35"/>
        <v>0</v>
      </c>
      <c r="U114" s="201">
        <f t="shared" si="36"/>
        <v>0.75</v>
      </c>
      <c r="V114" s="197" t="s">
        <v>736</v>
      </c>
    </row>
    <row r="115" spans="1:49" ht="14.5" x14ac:dyDescent="0.35">
      <c r="A115" s="198" t="s">
        <v>73</v>
      </c>
      <c r="B115" s="191" t="s">
        <v>132</v>
      </c>
      <c r="C115" s="191" t="s">
        <v>7</v>
      </c>
      <c r="D115" s="191" t="s">
        <v>5</v>
      </c>
      <c r="E115" s="97" t="s">
        <v>720</v>
      </c>
      <c r="F115" s="249" t="s">
        <v>774</v>
      </c>
      <c r="G115" s="249" t="s">
        <v>6</v>
      </c>
      <c r="H115" s="265">
        <v>88</v>
      </c>
      <c r="I115" s="265">
        <v>346258</v>
      </c>
      <c r="J115" s="265">
        <f t="shared" si="33"/>
        <v>3934.75</v>
      </c>
      <c r="K115" s="265">
        <v>809</v>
      </c>
      <c r="L115" s="265">
        <v>56</v>
      </c>
      <c r="M115" s="266">
        <f t="shared" si="37"/>
        <v>0.93526011560693645</v>
      </c>
      <c r="N115" s="266">
        <f t="shared" si="38"/>
        <v>6.4739884393063579E-2</v>
      </c>
      <c r="O115" s="265">
        <f t="shared" si="39"/>
        <v>865</v>
      </c>
      <c r="P115" s="297">
        <v>39</v>
      </c>
      <c r="Q115" s="265">
        <f t="shared" si="21"/>
        <v>904</v>
      </c>
      <c r="R115" s="271">
        <v>413</v>
      </c>
      <c r="S115" s="298">
        <f t="shared" si="34"/>
        <v>9.1931818181818183</v>
      </c>
      <c r="T115" s="298">
        <f t="shared" si="35"/>
        <v>0.63636363636363635</v>
      </c>
      <c r="U115" s="201">
        <f t="shared" si="36"/>
        <v>10.272727272727273</v>
      </c>
      <c r="V115" s="200" t="s">
        <v>736</v>
      </c>
    </row>
    <row r="116" spans="1:49" ht="14.5" x14ac:dyDescent="0.35">
      <c r="A116" s="190" t="s">
        <v>73</v>
      </c>
      <c r="B116" s="191" t="s">
        <v>133</v>
      </c>
      <c r="C116" s="191" t="s">
        <v>7</v>
      </c>
      <c r="D116" s="191" t="s">
        <v>5</v>
      </c>
      <c r="E116" s="93" t="s">
        <v>134</v>
      </c>
      <c r="F116" s="249" t="s">
        <v>588</v>
      </c>
      <c r="G116" s="249" t="s">
        <v>12</v>
      </c>
      <c r="H116" s="265">
        <v>10</v>
      </c>
      <c r="I116" s="265">
        <v>3122</v>
      </c>
      <c r="J116" s="265">
        <f t="shared" si="33"/>
        <v>312.2</v>
      </c>
      <c r="K116" s="265">
        <v>16</v>
      </c>
      <c r="L116" s="265">
        <v>5</v>
      </c>
      <c r="M116" s="266">
        <f t="shared" si="37"/>
        <v>0.76190476190476186</v>
      </c>
      <c r="N116" s="266">
        <f t="shared" si="38"/>
        <v>0.23809523809523808</v>
      </c>
      <c r="O116" s="265">
        <f t="shared" si="39"/>
        <v>21</v>
      </c>
      <c r="P116" s="297">
        <v>2</v>
      </c>
      <c r="Q116" s="265">
        <f t="shared" si="21"/>
        <v>23</v>
      </c>
      <c r="R116" s="270">
        <v>17</v>
      </c>
      <c r="S116" s="298">
        <f t="shared" si="34"/>
        <v>1.6</v>
      </c>
      <c r="T116" s="298">
        <f t="shared" si="35"/>
        <v>0.5</v>
      </c>
      <c r="U116" s="201">
        <f t="shared" si="36"/>
        <v>2.2999999999999998</v>
      </c>
      <c r="V116" s="200" t="s">
        <v>736</v>
      </c>
      <c r="AW116" s="32"/>
    </row>
    <row r="117" spans="1:49" ht="14.5" x14ac:dyDescent="0.35">
      <c r="A117" s="198" t="s">
        <v>73</v>
      </c>
      <c r="B117" s="193" t="s">
        <v>135</v>
      </c>
      <c r="C117" s="191" t="s">
        <v>14</v>
      </c>
      <c r="D117" s="193" t="s">
        <v>10</v>
      </c>
      <c r="E117" s="93" t="s">
        <v>446</v>
      </c>
      <c r="F117" s="249" t="s">
        <v>569</v>
      </c>
      <c r="G117" s="249" t="s">
        <v>12</v>
      </c>
      <c r="H117" s="265">
        <v>13</v>
      </c>
      <c r="I117" s="265">
        <v>4520</v>
      </c>
      <c r="J117" s="265">
        <f t="shared" si="33"/>
        <v>347.69230769230768</v>
      </c>
      <c r="K117" s="265">
        <v>57</v>
      </c>
      <c r="L117" s="265">
        <v>1</v>
      </c>
      <c r="M117" s="266">
        <f t="shared" si="37"/>
        <v>0.98275862068965514</v>
      </c>
      <c r="N117" s="266">
        <f t="shared" si="38"/>
        <v>1.7241379310344827E-2</v>
      </c>
      <c r="O117" s="265">
        <f t="shared" si="39"/>
        <v>58</v>
      </c>
      <c r="P117" s="297">
        <v>0</v>
      </c>
      <c r="Q117" s="265">
        <f t="shared" si="21"/>
        <v>58</v>
      </c>
      <c r="R117" s="270">
        <v>41</v>
      </c>
      <c r="S117" s="298">
        <f t="shared" si="34"/>
        <v>4.384615384615385</v>
      </c>
      <c r="T117" s="298">
        <f t="shared" si="35"/>
        <v>7.6923076923076927E-2</v>
      </c>
      <c r="U117" s="201">
        <f t="shared" si="36"/>
        <v>4.4615384615384617</v>
      </c>
      <c r="V117" s="200" t="s">
        <v>736</v>
      </c>
    </row>
    <row r="118" spans="1:49" ht="14.5" x14ac:dyDescent="0.35">
      <c r="A118" s="190" t="s">
        <v>73</v>
      </c>
      <c r="B118" s="193" t="s">
        <v>137</v>
      </c>
      <c r="C118" s="191" t="s">
        <v>13</v>
      </c>
      <c r="D118" s="191" t="s">
        <v>10</v>
      </c>
      <c r="E118" s="95" t="s">
        <v>447</v>
      </c>
      <c r="F118" s="249" t="s">
        <v>828</v>
      </c>
      <c r="G118" s="249" t="s">
        <v>12</v>
      </c>
      <c r="H118" s="265">
        <v>60</v>
      </c>
      <c r="I118" s="265">
        <v>34086</v>
      </c>
      <c r="J118" s="265">
        <f t="shared" si="33"/>
        <v>568.1</v>
      </c>
      <c r="K118" s="265">
        <v>151</v>
      </c>
      <c r="L118" s="265">
        <v>12</v>
      </c>
      <c r="M118" s="266">
        <f t="shared" si="37"/>
        <v>0.92638036809815949</v>
      </c>
      <c r="N118" s="266">
        <f t="shared" si="38"/>
        <v>7.3619631901840496E-2</v>
      </c>
      <c r="O118" s="265">
        <f t="shared" si="39"/>
        <v>163</v>
      </c>
      <c r="P118" s="297">
        <v>5</v>
      </c>
      <c r="Q118" s="265">
        <f t="shared" si="21"/>
        <v>168</v>
      </c>
      <c r="R118" s="271">
        <v>238</v>
      </c>
      <c r="S118" s="298">
        <f t="shared" si="34"/>
        <v>2.5166666666666666</v>
      </c>
      <c r="T118" s="298">
        <f t="shared" si="35"/>
        <v>0.2</v>
      </c>
      <c r="U118" s="201">
        <f t="shared" si="36"/>
        <v>2.8</v>
      </c>
      <c r="V118" s="200" t="s">
        <v>736</v>
      </c>
    </row>
    <row r="119" spans="1:49" ht="14.5" x14ac:dyDescent="0.35">
      <c r="A119" s="196" t="s">
        <v>73</v>
      </c>
      <c r="B119" s="197" t="s">
        <v>139</v>
      </c>
      <c r="C119" s="197" t="s">
        <v>4</v>
      </c>
      <c r="D119" s="197" t="s">
        <v>5</v>
      </c>
      <c r="E119" s="93" t="s">
        <v>1151</v>
      </c>
      <c r="F119" s="249" t="s">
        <v>369</v>
      </c>
      <c r="G119" s="249" t="s">
        <v>6</v>
      </c>
      <c r="H119" s="265">
        <v>104</v>
      </c>
      <c r="I119" s="265">
        <v>564379</v>
      </c>
      <c r="J119" s="265">
        <f t="shared" si="33"/>
        <v>5426.7211538461543</v>
      </c>
      <c r="K119" s="265">
        <v>1041</v>
      </c>
      <c r="L119" s="265">
        <v>274</v>
      </c>
      <c r="M119" s="266">
        <f t="shared" si="37"/>
        <v>0.7916349809885932</v>
      </c>
      <c r="N119" s="266">
        <f t="shared" si="38"/>
        <v>0.20836501901140683</v>
      </c>
      <c r="O119" s="265">
        <f t="shared" si="39"/>
        <v>1315</v>
      </c>
      <c r="P119" s="297">
        <v>2298</v>
      </c>
      <c r="Q119" s="265">
        <f t="shared" si="21"/>
        <v>3613</v>
      </c>
      <c r="R119" s="270">
        <v>981</v>
      </c>
      <c r="S119" s="298">
        <f t="shared" si="34"/>
        <v>10.009615384615385</v>
      </c>
      <c r="T119" s="298">
        <f t="shared" si="35"/>
        <v>2.6346153846153846</v>
      </c>
      <c r="U119" s="201">
        <f t="shared" si="36"/>
        <v>34.740384615384613</v>
      </c>
      <c r="V119" s="200" t="s">
        <v>736</v>
      </c>
    </row>
    <row r="120" spans="1:49" ht="14.5" x14ac:dyDescent="0.35">
      <c r="A120" s="190" t="s">
        <v>73</v>
      </c>
      <c r="B120" s="191" t="s">
        <v>139</v>
      </c>
      <c r="C120" s="191" t="s">
        <v>13</v>
      </c>
      <c r="D120" s="191" t="s">
        <v>10</v>
      </c>
      <c r="E120" s="94" t="str">
        <f>HYPERLINK("https://youtube.com/edp20111","https://youtube.com/edp20111")</f>
        <v>https://youtube.com/edp20111</v>
      </c>
      <c r="F120" s="249" t="s">
        <v>336</v>
      </c>
      <c r="G120" s="249" t="s">
        <v>12</v>
      </c>
      <c r="H120" s="265">
        <v>2050</v>
      </c>
      <c r="I120" s="265">
        <v>2085807</v>
      </c>
      <c r="J120" s="265">
        <f t="shared" si="33"/>
        <v>1017.4668292682927</v>
      </c>
      <c r="K120" s="265">
        <v>8205</v>
      </c>
      <c r="L120" s="265">
        <v>1491</v>
      </c>
      <c r="M120" s="266">
        <f t="shared" si="37"/>
        <v>0.84622524752475248</v>
      </c>
      <c r="N120" s="266">
        <f t="shared" si="38"/>
        <v>0.15377475247524752</v>
      </c>
      <c r="O120" s="265">
        <f t="shared" si="39"/>
        <v>9696</v>
      </c>
      <c r="P120" s="297">
        <v>3344</v>
      </c>
      <c r="Q120" s="265">
        <f t="shared" si="21"/>
        <v>13040</v>
      </c>
      <c r="R120" s="269">
        <v>3351</v>
      </c>
      <c r="S120" s="298">
        <f t="shared" si="34"/>
        <v>4.0024390243902435</v>
      </c>
      <c r="T120" s="298">
        <f t="shared" si="35"/>
        <v>0.72731707317073169</v>
      </c>
      <c r="U120" s="201">
        <f t="shared" si="36"/>
        <v>6.3609756097560979</v>
      </c>
      <c r="V120" s="200" t="s">
        <v>736</v>
      </c>
    </row>
    <row r="121" spans="1:49" ht="14.5" x14ac:dyDescent="0.35">
      <c r="A121" s="190" t="s">
        <v>73</v>
      </c>
      <c r="B121" s="191" t="s">
        <v>139</v>
      </c>
      <c r="C121" s="191" t="s">
        <v>13</v>
      </c>
      <c r="D121" s="191" t="s">
        <v>10</v>
      </c>
      <c r="E121" s="93" t="s">
        <v>140</v>
      </c>
      <c r="F121" s="249" t="s">
        <v>382</v>
      </c>
      <c r="G121" s="249" t="s">
        <v>12</v>
      </c>
      <c r="H121" s="265">
        <v>224</v>
      </c>
      <c r="I121" s="265">
        <v>523833</v>
      </c>
      <c r="J121" s="265">
        <f t="shared" si="33"/>
        <v>2338.5401785714284</v>
      </c>
      <c r="K121" s="265">
        <v>1818</v>
      </c>
      <c r="L121" s="265">
        <v>63</v>
      </c>
      <c r="M121" s="266">
        <f t="shared" si="37"/>
        <v>0.96650717703349287</v>
      </c>
      <c r="N121" s="266">
        <f t="shared" si="38"/>
        <v>3.3492822966507178E-2</v>
      </c>
      <c r="O121" s="265">
        <f t="shared" si="39"/>
        <v>1881</v>
      </c>
      <c r="P121" s="297">
        <v>227</v>
      </c>
      <c r="Q121" s="265">
        <f t="shared" si="21"/>
        <v>2108</v>
      </c>
      <c r="R121" s="270">
        <v>2126</v>
      </c>
      <c r="S121" s="298">
        <f t="shared" si="34"/>
        <v>8.1160714285714288</v>
      </c>
      <c r="T121" s="298">
        <f t="shared" si="35"/>
        <v>0.28125</v>
      </c>
      <c r="U121" s="201">
        <f t="shared" si="36"/>
        <v>9.4107142857142865</v>
      </c>
      <c r="V121" s="200" t="s">
        <v>736</v>
      </c>
    </row>
    <row r="122" spans="1:49" ht="14.5" x14ac:dyDescent="0.35">
      <c r="A122" s="190" t="s">
        <v>73</v>
      </c>
      <c r="B122" s="191" t="s">
        <v>139</v>
      </c>
      <c r="C122" s="191" t="s">
        <v>14</v>
      </c>
      <c r="D122" s="191" t="s">
        <v>10</v>
      </c>
      <c r="E122" s="94" t="str">
        <f>HYPERLINK("https://youtube.com/RTVMalacanang","https://youtube.com/RTVMalacanang")</f>
        <v>https://youtube.com/RTVMalacanang</v>
      </c>
      <c r="F122" s="249" t="s">
        <v>387</v>
      </c>
      <c r="G122" s="249" t="s">
        <v>12</v>
      </c>
      <c r="H122" s="265">
        <v>8200</v>
      </c>
      <c r="I122" s="265">
        <v>13975779</v>
      </c>
      <c r="J122" s="265">
        <f t="shared" si="33"/>
        <v>1704.3632926829268</v>
      </c>
      <c r="K122" s="265">
        <v>41858</v>
      </c>
      <c r="L122" s="265">
        <v>5180</v>
      </c>
      <c r="M122" s="266">
        <f t="shared" si="37"/>
        <v>0.88987627024958549</v>
      </c>
      <c r="N122" s="266">
        <f t="shared" si="38"/>
        <v>0.11012372975041455</v>
      </c>
      <c r="O122" s="265">
        <f t="shared" si="39"/>
        <v>47038</v>
      </c>
      <c r="P122" s="297">
        <v>34724</v>
      </c>
      <c r="Q122" s="265">
        <f t="shared" si="21"/>
        <v>81762</v>
      </c>
      <c r="R122" s="269">
        <v>20882</v>
      </c>
      <c r="S122" s="298">
        <f t="shared" si="34"/>
        <v>5.1046341463414633</v>
      </c>
      <c r="T122" s="298">
        <f t="shared" si="35"/>
        <v>0.63170731707317074</v>
      </c>
      <c r="U122" s="201">
        <f t="shared" si="36"/>
        <v>9.9709756097560973</v>
      </c>
      <c r="V122" s="200" t="s">
        <v>735</v>
      </c>
    </row>
    <row r="123" spans="1:49" ht="14.5" x14ac:dyDescent="0.35">
      <c r="A123" s="255" t="s">
        <v>73</v>
      </c>
      <c r="B123" s="256" t="s">
        <v>141</v>
      </c>
      <c r="C123" s="256" t="s">
        <v>13</v>
      </c>
      <c r="D123" s="256" t="s">
        <v>10</v>
      </c>
      <c r="E123" s="95" t="s">
        <v>142</v>
      </c>
      <c r="F123" s="249" t="s">
        <v>565</v>
      </c>
      <c r="G123" s="249" t="s">
        <v>6</v>
      </c>
      <c r="H123" s="265">
        <v>4</v>
      </c>
      <c r="I123" s="265">
        <v>16436</v>
      </c>
      <c r="J123" s="265">
        <f t="shared" si="33"/>
        <v>4109</v>
      </c>
      <c r="K123" s="265">
        <v>29</v>
      </c>
      <c r="L123" s="265">
        <v>2</v>
      </c>
      <c r="M123" s="266">
        <f t="shared" si="37"/>
        <v>0.93548387096774188</v>
      </c>
      <c r="N123" s="266">
        <f t="shared" si="38"/>
        <v>6.4516129032258063E-2</v>
      </c>
      <c r="O123" s="265">
        <f t="shared" si="39"/>
        <v>31</v>
      </c>
      <c r="P123" s="297">
        <v>1</v>
      </c>
      <c r="Q123" s="265">
        <f t="shared" si="21"/>
        <v>32</v>
      </c>
      <c r="R123" s="299">
        <v>84</v>
      </c>
      <c r="S123" s="298">
        <f t="shared" si="34"/>
        <v>7.25</v>
      </c>
      <c r="T123" s="298">
        <f t="shared" si="35"/>
        <v>0.5</v>
      </c>
      <c r="U123" s="201">
        <f t="shared" si="36"/>
        <v>8</v>
      </c>
      <c r="V123" s="200" t="s">
        <v>736</v>
      </c>
    </row>
    <row r="124" spans="1:49" ht="14.5" x14ac:dyDescent="0.35">
      <c r="A124" s="198" t="s">
        <v>73</v>
      </c>
      <c r="B124" s="193" t="s">
        <v>143</v>
      </c>
      <c r="C124" s="191" t="s">
        <v>13</v>
      </c>
      <c r="D124" s="191" t="s">
        <v>10</v>
      </c>
      <c r="E124" s="93" t="s">
        <v>144</v>
      </c>
      <c r="F124" s="249" t="s">
        <v>836</v>
      </c>
      <c r="G124" s="249" t="s">
        <v>773</v>
      </c>
      <c r="H124" s="265">
        <v>68</v>
      </c>
      <c r="I124" s="265">
        <v>316891</v>
      </c>
      <c r="J124" s="265">
        <f t="shared" si="33"/>
        <v>4660.161764705882</v>
      </c>
      <c r="K124" s="265">
        <v>358</v>
      </c>
      <c r="L124" s="265">
        <v>172</v>
      </c>
      <c r="M124" s="266">
        <f t="shared" si="37"/>
        <v>0.67547169811320751</v>
      </c>
      <c r="N124" s="266">
        <f t="shared" si="38"/>
        <v>0.32452830188679244</v>
      </c>
      <c r="O124" s="265">
        <f t="shared" si="39"/>
        <v>530</v>
      </c>
      <c r="P124" s="297">
        <v>62</v>
      </c>
      <c r="Q124" s="265">
        <f t="shared" si="21"/>
        <v>592</v>
      </c>
      <c r="R124" s="270">
        <v>1472</v>
      </c>
      <c r="S124" s="298">
        <f t="shared" si="34"/>
        <v>5.2647058823529411</v>
      </c>
      <c r="T124" s="298">
        <f t="shared" si="35"/>
        <v>2.5294117647058822</v>
      </c>
      <c r="U124" s="201">
        <f t="shared" si="36"/>
        <v>8.7058823529411757</v>
      </c>
      <c r="V124" s="197" t="s">
        <v>736</v>
      </c>
    </row>
    <row r="125" spans="1:49" ht="14.5" x14ac:dyDescent="0.35">
      <c r="A125" s="190" t="s">
        <v>73</v>
      </c>
      <c r="B125" s="191" t="s">
        <v>143</v>
      </c>
      <c r="C125" s="191" t="s">
        <v>14</v>
      </c>
      <c r="D125" s="191" t="s">
        <v>10</v>
      </c>
      <c r="E125" s="93" t="s">
        <v>145</v>
      </c>
      <c r="F125" s="249" t="s">
        <v>820</v>
      </c>
      <c r="G125" s="249" t="s">
        <v>12</v>
      </c>
      <c r="H125" s="265">
        <v>59</v>
      </c>
      <c r="I125" s="265">
        <v>382498</v>
      </c>
      <c r="J125" s="265">
        <f t="shared" si="33"/>
        <v>6483.0169491525421</v>
      </c>
      <c r="K125" s="265">
        <v>2191</v>
      </c>
      <c r="L125" s="265">
        <v>207</v>
      </c>
      <c r="M125" s="266">
        <f t="shared" si="37"/>
        <v>0.9136780650542119</v>
      </c>
      <c r="N125" s="266">
        <f t="shared" si="38"/>
        <v>8.6321934945788159E-2</v>
      </c>
      <c r="O125" s="265">
        <f t="shared" si="39"/>
        <v>2398</v>
      </c>
      <c r="P125" s="297">
        <v>143</v>
      </c>
      <c r="Q125" s="265">
        <f t="shared" si="21"/>
        <v>2541</v>
      </c>
      <c r="R125" s="270">
        <v>2199</v>
      </c>
      <c r="S125" s="298">
        <f t="shared" si="34"/>
        <v>37.135593220338983</v>
      </c>
      <c r="T125" s="298">
        <f t="shared" si="35"/>
        <v>3.5084745762711864</v>
      </c>
      <c r="U125" s="201">
        <f t="shared" si="36"/>
        <v>43.067796610169495</v>
      </c>
      <c r="V125" s="200" t="s">
        <v>736</v>
      </c>
    </row>
    <row r="126" spans="1:49" ht="14.5" x14ac:dyDescent="0.35">
      <c r="A126" s="190" t="s">
        <v>73</v>
      </c>
      <c r="B126" s="191" t="s">
        <v>146</v>
      </c>
      <c r="C126" s="191" t="s">
        <v>7</v>
      </c>
      <c r="D126" s="191" t="s">
        <v>5</v>
      </c>
      <c r="E126" s="97" t="s">
        <v>448</v>
      </c>
      <c r="F126" s="249" t="s">
        <v>594</v>
      </c>
      <c r="G126" s="249" t="s">
        <v>12</v>
      </c>
      <c r="H126" s="265">
        <v>714</v>
      </c>
      <c r="I126" s="265">
        <v>5725688</v>
      </c>
      <c r="J126" s="265">
        <f t="shared" si="33"/>
        <v>8019.1708683473389</v>
      </c>
      <c r="K126" s="265">
        <v>29393</v>
      </c>
      <c r="L126" s="265">
        <v>2189</v>
      </c>
      <c r="M126" s="266">
        <f t="shared" si="37"/>
        <v>0.93068836679121014</v>
      </c>
      <c r="N126" s="266">
        <f t="shared" si="38"/>
        <v>6.9311633208789816E-2</v>
      </c>
      <c r="O126" s="265">
        <f t="shared" si="39"/>
        <v>31582</v>
      </c>
      <c r="P126" s="297">
        <v>2098</v>
      </c>
      <c r="Q126" s="265">
        <f t="shared" si="21"/>
        <v>33680</v>
      </c>
      <c r="R126" s="299">
        <v>26399</v>
      </c>
      <c r="S126" s="298">
        <f t="shared" si="34"/>
        <v>41.166666666666664</v>
      </c>
      <c r="T126" s="298">
        <f t="shared" si="35"/>
        <v>3.0658263305322131</v>
      </c>
      <c r="U126" s="201">
        <f t="shared" si="36"/>
        <v>47.170868347338939</v>
      </c>
      <c r="V126" s="200" t="s">
        <v>735</v>
      </c>
    </row>
    <row r="127" spans="1:49" ht="14.5" x14ac:dyDescent="0.35">
      <c r="A127" s="190" t="s">
        <v>73</v>
      </c>
      <c r="B127" s="191" t="s">
        <v>146</v>
      </c>
      <c r="C127" s="191" t="s">
        <v>13</v>
      </c>
      <c r="D127" s="191" t="s">
        <v>10</v>
      </c>
      <c r="E127" s="94" t="str">
        <f>HYPERLINK("https://youtube.com/govsingapore","https://youtube.com/govsingapore")</f>
        <v>https://youtube.com/govsingapore</v>
      </c>
      <c r="F127" s="249" t="s">
        <v>330</v>
      </c>
      <c r="G127" s="249" t="s">
        <v>12</v>
      </c>
      <c r="H127" s="265">
        <v>1268</v>
      </c>
      <c r="I127" s="265">
        <v>24217595</v>
      </c>
      <c r="J127" s="265">
        <f t="shared" si="33"/>
        <v>19099.049684542588</v>
      </c>
      <c r="K127" s="265">
        <v>25</v>
      </c>
      <c r="L127" s="265">
        <v>11</v>
      </c>
      <c r="M127" s="266">
        <f t="shared" si="37"/>
        <v>0.69444444444444442</v>
      </c>
      <c r="N127" s="266">
        <f t="shared" si="38"/>
        <v>0.30555555555555558</v>
      </c>
      <c r="O127" s="265">
        <f t="shared" si="39"/>
        <v>36</v>
      </c>
      <c r="P127" s="297">
        <v>3</v>
      </c>
      <c r="Q127" s="265">
        <f t="shared" si="21"/>
        <v>39</v>
      </c>
      <c r="R127" s="269">
        <v>14483</v>
      </c>
      <c r="S127" s="298">
        <f t="shared" si="34"/>
        <v>1.9716088328075709E-2</v>
      </c>
      <c r="T127" s="298">
        <f t="shared" si="35"/>
        <v>8.6750788643533121E-3</v>
      </c>
      <c r="U127" s="201">
        <f t="shared" si="36"/>
        <v>3.0757097791798107E-2</v>
      </c>
      <c r="V127" s="200" t="s">
        <v>736</v>
      </c>
    </row>
    <row r="128" spans="1:49" ht="14.5" x14ac:dyDescent="0.35">
      <c r="A128" s="196" t="s">
        <v>73</v>
      </c>
      <c r="B128" s="197" t="s">
        <v>147</v>
      </c>
      <c r="C128" s="197" t="s">
        <v>9</v>
      </c>
      <c r="D128" s="197" t="s">
        <v>10</v>
      </c>
      <c r="E128" s="94" t="str">
        <f>HYPERLINK("https://youtube.com/cheongwadaetv","https://youtube.com/cheongwadaetv")</f>
        <v>https://youtube.com/cheongwadaetv</v>
      </c>
      <c r="F128" s="249" t="s">
        <v>372</v>
      </c>
      <c r="G128" s="249" t="s">
        <v>12</v>
      </c>
      <c r="H128" s="265">
        <v>942</v>
      </c>
      <c r="I128" s="265">
        <v>2731851</v>
      </c>
      <c r="J128" s="265">
        <f t="shared" si="33"/>
        <v>2900.0541401273886</v>
      </c>
      <c r="K128" s="265">
        <v>14943</v>
      </c>
      <c r="L128" s="265">
        <v>3271</v>
      </c>
      <c r="M128" s="266">
        <f t="shared" si="37"/>
        <v>0.82041286922147794</v>
      </c>
      <c r="N128" s="266">
        <f t="shared" si="38"/>
        <v>0.17958713077852201</v>
      </c>
      <c r="O128" s="265">
        <f t="shared" si="39"/>
        <v>18214</v>
      </c>
      <c r="P128" s="297">
        <v>1987</v>
      </c>
      <c r="Q128" s="265">
        <f t="shared" si="21"/>
        <v>20201</v>
      </c>
      <c r="R128" s="269">
        <v>4941</v>
      </c>
      <c r="S128" s="298">
        <f t="shared" si="34"/>
        <v>15.863057324840764</v>
      </c>
      <c r="T128" s="298">
        <f t="shared" si="35"/>
        <v>3.4723991507430996</v>
      </c>
      <c r="U128" s="201">
        <f t="shared" si="36"/>
        <v>21.444798301486198</v>
      </c>
      <c r="V128" s="200" t="s">
        <v>736</v>
      </c>
    </row>
    <row r="129" spans="1:48" ht="14.5" x14ac:dyDescent="0.35">
      <c r="A129" s="190" t="s">
        <v>73</v>
      </c>
      <c r="B129" s="191" t="s">
        <v>147</v>
      </c>
      <c r="C129" s="191" t="s">
        <v>13</v>
      </c>
      <c r="D129" s="191" t="s">
        <v>10</v>
      </c>
      <c r="E129" s="94" t="str">
        <f>HYPERLINK("https://youtube.com/primeministerkr","https://youtube.com/primeministerkr")</f>
        <v>https://youtube.com/primeministerkr</v>
      </c>
      <c r="F129" s="249" t="s">
        <v>358</v>
      </c>
      <c r="G129" s="249" t="s">
        <v>12</v>
      </c>
      <c r="H129" s="265">
        <v>217</v>
      </c>
      <c r="I129" s="265">
        <v>143417</v>
      </c>
      <c r="J129" s="265">
        <f t="shared" si="33"/>
        <v>660.90783410138249</v>
      </c>
      <c r="K129" s="265">
        <v>378</v>
      </c>
      <c r="L129" s="265">
        <v>44</v>
      </c>
      <c r="M129" s="266">
        <f t="shared" si="37"/>
        <v>0.89573459715639814</v>
      </c>
      <c r="N129" s="266">
        <f t="shared" si="38"/>
        <v>0.10426540284360189</v>
      </c>
      <c r="O129" s="265">
        <f t="shared" si="39"/>
        <v>422</v>
      </c>
      <c r="P129" s="297">
        <v>34</v>
      </c>
      <c r="Q129" s="265">
        <f t="shared" si="21"/>
        <v>456</v>
      </c>
      <c r="R129" s="269">
        <v>231</v>
      </c>
      <c r="S129" s="298">
        <f t="shared" si="34"/>
        <v>1.7419354838709677</v>
      </c>
      <c r="T129" s="298">
        <f t="shared" si="35"/>
        <v>0.20276497695852536</v>
      </c>
      <c r="U129" s="201">
        <f t="shared" si="36"/>
        <v>2.1013824884792625</v>
      </c>
      <c r="V129" s="197" t="s">
        <v>736</v>
      </c>
    </row>
    <row r="130" spans="1:48" ht="14.5" x14ac:dyDescent="0.35">
      <c r="A130" s="190" t="s">
        <v>73</v>
      </c>
      <c r="B130" s="191" t="s">
        <v>148</v>
      </c>
      <c r="C130" s="191" t="s">
        <v>4</v>
      </c>
      <c r="D130" s="191" t="s">
        <v>5</v>
      </c>
      <c r="E130" s="93" t="s">
        <v>625</v>
      </c>
      <c r="F130" s="249" t="s">
        <v>781</v>
      </c>
      <c r="G130" s="249" t="s">
        <v>12</v>
      </c>
      <c r="H130" s="265">
        <v>615</v>
      </c>
      <c r="I130" s="265">
        <v>179400</v>
      </c>
      <c r="J130" s="265">
        <f t="shared" si="33"/>
        <v>291.70731707317071</v>
      </c>
      <c r="K130" s="265">
        <v>547</v>
      </c>
      <c r="L130" s="265">
        <v>279</v>
      </c>
      <c r="M130" s="266">
        <f t="shared" si="37"/>
        <v>0.66222760290556903</v>
      </c>
      <c r="N130" s="266">
        <f t="shared" si="38"/>
        <v>0.33777239709443097</v>
      </c>
      <c r="O130" s="265">
        <f t="shared" si="39"/>
        <v>826</v>
      </c>
      <c r="P130" s="297">
        <v>13</v>
      </c>
      <c r="Q130" s="265">
        <f t="shared" si="21"/>
        <v>839</v>
      </c>
      <c r="R130" s="270">
        <v>334</v>
      </c>
      <c r="S130" s="298">
        <f t="shared" si="34"/>
        <v>0.88943089430894307</v>
      </c>
      <c r="T130" s="298">
        <f t="shared" si="35"/>
        <v>0.45365853658536587</v>
      </c>
      <c r="U130" s="201">
        <f t="shared" si="36"/>
        <v>1.3642276422764228</v>
      </c>
      <c r="V130" s="200" t="s">
        <v>736</v>
      </c>
    </row>
    <row r="131" spans="1:48" ht="14.5" x14ac:dyDescent="0.35">
      <c r="A131" s="190" t="s">
        <v>73</v>
      </c>
      <c r="B131" s="191" t="s">
        <v>148</v>
      </c>
      <c r="C131" s="191" t="s">
        <v>14</v>
      </c>
      <c r="D131" s="191" t="s">
        <v>10</v>
      </c>
      <c r="E131" s="94" t="str">
        <f>HYPERLINK("https://youtube.com/SLMFA","https://youtube.com/SLMFA")</f>
        <v>https://youtube.com/SLMFA</v>
      </c>
      <c r="F131" s="249" t="s">
        <v>406</v>
      </c>
      <c r="G131" s="249" t="s">
        <v>12</v>
      </c>
      <c r="H131" s="265">
        <v>96</v>
      </c>
      <c r="I131" s="265">
        <v>606976</v>
      </c>
      <c r="J131" s="265">
        <f t="shared" si="33"/>
        <v>6322.666666666667</v>
      </c>
      <c r="K131" s="265">
        <v>1278</v>
      </c>
      <c r="L131" s="265">
        <v>100</v>
      </c>
      <c r="M131" s="266">
        <f t="shared" si="37"/>
        <v>0.92743105950653115</v>
      </c>
      <c r="N131" s="266">
        <f t="shared" si="38"/>
        <v>7.2568940493468792E-2</v>
      </c>
      <c r="O131" s="265">
        <f t="shared" si="39"/>
        <v>1378</v>
      </c>
      <c r="P131" s="297">
        <v>175</v>
      </c>
      <c r="Q131" s="265">
        <f t="shared" ref="Q131:Q194" si="40">SUM(O131,P131)</f>
        <v>1553</v>
      </c>
      <c r="R131" s="269">
        <v>359</v>
      </c>
      <c r="S131" s="298">
        <f t="shared" si="34"/>
        <v>13.3125</v>
      </c>
      <c r="T131" s="298">
        <f t="shared" si="35"/>
        <v>1.0416666666666667</v>
      </c>
      <c r="U131" s="201">
        <f t="shared" si="36"/>
        <v>16.177083333333332</v>
      </c>
      <c r="V131" s="197" t="s">
        <v>736</v>
      </c>
    </row>
    <row r="132" spans="1:48" ht="14.5" x14ac:dyDescent="0.35">
      <c r="A132" s="198" t="s">
        <v>73</v>
      </c>
      <c r="B132" s="193" t="s">
        <v>149</v>
      </c>
      <c r="C132" s="193" t="s">
        <v>9</v>
      </c>
      <c r="D132" s="193" t="s">
        <v>10</v>
      </c>
      <c r="E132" s="93" t="s">
        <v>449</v>
      </c>
      <c r="F132" s="249" t="s">
        <v>537</v>
      </c>
      <c r="G132" s="249" t="s">
        <v>6</v>
      </c>
      <c r="H132" s="265">
        <v>34</v>
      </c>
      <c r="I132" s="265">
        <v>395751</v>
      </c>
      <c r="J132" s="265">
        <f t="shared" si="33"/>
        <v>11639.735294117647</v>
      </c>
      <c r="K132" s="265">
        <v>3889</v>
      </c>
      <c r="L132" s="265">
        <v>925</v>
      </c>
      <c r="M132" s="266">
        <f t="shared" si="37"/>
        <v>0.80785209804736191</v>
      </c>
      <c r="N132" s="266">
        <f t="shared" si="38"/>
        <v>0.19214790195263814</v>
      </c>
      <c r="O132" s="265">
        <f t="shared" si="39"/>
        <v>4814</v>
      </c>
      <c r="P132" s="297">
        <v>8</v>
      </c>
      <c r="Q132" s="265">
        <f t="shared" si="40"/>
        <v>4822</v>
      </c>
      <c r="R132" s="270">
        <v>3028</v>
      </c>
      <c r="S132" s="298">
        <f t="shared" si="34"/>
        <v>114.38235294117646</v>
      </c>
      <c r="T132" s="298">
        <f t="shared" si="35"/>
        <v>27.205882352941178</v>
      </c>
      <c r="U132" s="201">
        <f t="shared" si="36"/>
        <v>141.8235294117647</v>
      </c>
      <c r="V132" s="197" t="s">
        <v>736</v>
      </c>
    </row>
    <row r="133" spans="1:48" ht="14.5" x14ac:dyDescent="0.35">
      <c r="A133" s="190" t="s">
        <v>73</v>
      </c>
      <c r="B133" s="191" t="s">
        <v>150</v>
      </c>
      <c r="C133" s="191" t="s">
        <v>4</v>
      </c>
      <c r="D133" s="191" t="s">
        <v>5</v>
      </c>
      <c r="E133" s="98" t="s">
        <v>450</v>
      </c>
      <c r="F133" s="249" t="s">
        <v>494</v>
      </c>
      <c r="G133" s="249" t="s">
        <v>12</v>
      </c>
      <c r="H133" s="265">
        <v>42</v>
      </c>
      <c r="I133" s="265">
        <v>389446</v>
      </c>
      <c r="J133" s="265">
        <f t="shared" si="33"/>
        <v>9272.5238095238092</v>
      </c>
      <c r="K133" s="265">
        <v>1851</v>
      </c>
      <c r="L133" s="265">
        <v>377</v>
      </c>
      <c r="M133" s="266">
        <f t="shared" si="37"/>
        <v>0.83078994614003587</v>
      </c>
      <c r="N133" s="266">
        <f t="shared" si="38"/>
        <v>0.1692100538599641</v>
      </c>
      <c r="O133" s="265">
        <f t="shared" si="39"/>
        <v>2228</v>
      </c>
      <c r="P133" s="297">
        <v>8</v>
      </c>
      <c r="Q133" s="265">
        <f t="shared" si="40"/>
        <v>2236</v>
      </c>
      <c r="R133" s="271">
        <v>983</v>
      </c>
      <c r="S133" s="298">
        <f t="shared" si="34"/>
        <v>44.071428571428569</v>
      </c>
      <c r="T133" s="298">
        <f t="shared" si="35"/>
        <v>8.9761904761904763</v>
      </c>
      <c r="U133" s="201">
        <f t="shared" si="36"/>
        <v>53.238095238095241</v>
      </c>
      <c r="V133" s="200" t="s">
        <v>736</v>
      </c>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row>
    <row r="134" spans="1:48" ht="14.5" x14ac:dyDescent="0.35">
      <c r="A134" s="198" t="s">
        <v>73</v>
      </c>
      <c r="B134" s="191" t="s">
        <v>150</v>
      </c>
      <c r="C134" s="193" t="s">
        <v>9</v>
      </c>
      <c r="D134" s="193" t="s">
        <v>10</v>
      </c>
      <c r="E134" s="93" t="s">
        <v>151</v>
      </c>
      <c r="F134" s="249" t="s">
        <v>538</v>
      </c>
      <c r="G134" s="249" t="s">
        <v>6</v>
      </c>
      <c r="H134" s="265">
        <v>10</v>
      </c>
      <c r="I134" s="265">
        <v>469696</v>
      </c>
      <c r="J134" s="265">
        <f t="shared" si="33"/>
        <v>46969.599999999999</v>
      </c>
      <c r="K134" s="265">
        <v>0</v>
      </c>
      <c r="L134" s="265">
        <v>0</v>
      </c>
      <c r="M134" s="265">
        <v>0</v>
      </c>
      <c r="N134" s="265">
        <v>0</v>
      </c>
      <c r="O134" s="265">
        <v>0</v>
      </c>
      <c r="P134" s="297">
        <v>0</v>
      </c>
      <c r="Q134" s="265">
        <f t="shared" si="40"/>
        <v>0</v>
      </c>
      <c r="R134" s="270">
        <v>167</v>
      </c>
      <c r="S134" s="298">
        <f t="shared" si="34"/>
        <v>0</v>
      </c>
      <c r="T134" s="298">
        <f t="shared" si="35"/>
        <v>0</v>
      </c>
      <c r="U134" s="201">
        <f t="shared" si="36"/>
        <v>0</v>
      </c>
      <c r="V134" s="197" t="s">
        <v>736</v>
      </c>
    </row>
    <row r="135" spans="1:48" ht="14.5" x14ac:dyDescent="0.35">
      <c r="A135" s="198" t="s">
        <v>73</v>
      </c>
      <c r="B135" s="193" t="s">
        <v>152</v>
      </c>
      <c r="C135" s="191" t="s">
        <v>13</v>
      </c>
      <c r="D135" s="191" t="s">
        <v>10</v>
      </c>
      <c r="E135" s="93" t="s">
        <v>153</v>
      </c>
      <c r="F135" s="249" t="s">
        <v>838</v>
      </c>
      <c r="G135" s="249" t="s">
        <v>6</v>
      </c>
      <c r="H135" s="265">
        <v>2</v>
      </c>
      <c r="I135" s="265">
        <v>1929</v>
      </c>
      <c r="J135" s="265">
        <f t="shared" si="33"/>
        <v>964.5</v>
      </c>
      <c r="K135" s="265">
        <v>19</v>
      </c>
      <c r="L135" s="265">
        <v>1</v>
      </c>
      <c r="M135" s="266">
        <f>SUM(K135)/O135</f>
        <v>0.95</v>
      </c>
      <c r="N135" s="266">
        <f>SUM(L135)/O135</f>
        <v>0.05</v>
      </c>
      <c r="O135" s="265">
        <f>SUM(K135:L135)</f>
        <v>20</v>
      </c>
      <c r="P135" s="297">
        <v>2</v>
      </c>
      <c r="Q135" s="265">
        <f t="shared" si="40"/>
        <v>22</v>
      </c>
      <c r="R135" s="270">
        <v>4</v>
      </c>
      <c r="S135" s="298">
        <f t="shared" si="34"/>
        <v>9.5</v>
      </c>
      <c r="T135" s="298">
        <f t="shared" si="35"/>
        <v>0.5</v>
      </c>
      <c r="U135" s="201">
        <f t="shared" si="36"/>
        <v>11</v>
      </c>
      <c r="V135" s="200" t="s">
        <v>736</v>
      </c>
    </row>
    <row r="136" spans="1:48" ht="14.5" x14ac:dyDescent="0.35">
      <c r="A136" s="190" t="s">
        <v>73</v>
      </c>
      <c r="B136" s="191" t="s">
        <v>154</v>
      </c>
      <c r="C136" s="191" t="s">
        <v>4</v>
      </c>
      <c r="D136" s="191" t="s">
        <v>5</v>
      </c>
      <c r="E136" s="93" t="s">
        <v>451</v>
      </c>
      <c r="F136" s="249" t="s">
        <v>816</v>
      </c>
      <c r="G136" s="249" t="s">
        <v>6</v>
      </c>
      <c r="H136" s="265">
        <v>2</v>
      </c>
      <c r="I136" s="265">
        <v>11485</v>
      </c>
      <c r="J136" s="265">
        <f t="shared" si="33"/>
        <v>5742.5</v>
      </c>
      <c r="K136" s="265">
        <v>51</v>
      </c>
      <c r="L136" s="265">
        <v>0</v>
      </c>
      <c r="M136" s="266">
        <f>SUM(K136)/O136</f>
        <v>1</v>
      </c>
      <c r="N136" s="266">
        <f>SUM(L136)/O136</f>
        <v>0</v>
      </c>
      <c r="O136" s="265">
        <f>SUM(K136:L136)</f>
        <v>51</v>
      </c>
      <c r="P136" s="297">
        <v>6</v>
      </c>
      <c r="Q136" s="265">
        <f t="shared" si="40"/>
        <v>57</v>
      </c>
      <c r="R136" s="270">
        <v>45</v>
      </c>
      <c r="S136" s="298">
        <f t="shared" si="34"/>
        <v>25.5</v>
      </c>
      <c r="T136" s="298">
        <f t="shared" si="35"/>
        <v>0</v>
      </c>
      <c r="U136" s="201">
        <f t="shared" si="36"/>
        <v>28.5</v>
      </c>
      <c r="V136" s="200" t="s">
        <v>736</v>
      </c>
    </row>
    <row r="137" spans="1:48" ht="14.5" x14ac:dyDescent="0.35">
      <c r="A137" s="190" t="s">
        <v>73</v>
      </c>
      <c r="B137" s="191" t="s">
        <v>154</v>
      </c>
      <c r="C137" s="191" t="s">
        <v>89</v>
      </c>
      <c r="D137" s="191" t="s">
        <v>5</v>
      </c>
      <c r="E137" s="94" t="str">
        <f>HYPERLINK("https://youtube.com/HHSMohammedBinRashid","https://youtube.com/HHSMohammedBinRashid")</f>
        <v>https://youtube.com/HHSMohammedBinRashid</v>
      </c>
      <c r="F137" s="249" t="s">
        <v>381</v>
      </c>
      <c r="G137" s="249" t="s">
        <v>12</v>
      </c>
      <c r="H137" s="265">
        <v>1545</v>
      </c>
      <c r="I137" s="265">
        <v>13798048</v>
      </c>
      <c r="J137" s="265">
        <f t="shared" si="33"/>
        <v>8930.7754045307447</v>
      </c>
      <c r="K137" s="265">
        <v>59535</v>
      </c>
      <c r="L137" s="265">
        <v>3599</v>
      </c>
      <c r="M137" s="266">
        <f>SUM(K137)/O137</f>
        <v>0.94299426616403204</v>
      </c>
      <c r="N137" s="266">
        <f>SUM(L137)/O137</f>
        <v>5.7005733835967944E-2</v>
      </c>
      <c r="O137" s="265">
        <f>SUM(K137:L137)</f>
        <v>63134</v>
      </c>
      <c r="P137" s="297">
        <v>2173</v>
      </c>
      <c r="Q137" s="265">
        <f t="shared" si="40"/>
        <v>65307</v>
      </c>
      <c r="R137" s="270">
        <v>34140</v>
      </c>
      <c r="S137" s="298">
        <f t="shared" si="34"/>
        <v>38.533980582524272</v>
      </c>
      <c r="T137" s="298">
        <f t="shared" si="35"/>
        <v>2.3294498381877022</v>
      </c>
      <c r="U137" s="201">
        <f t="shared" si="36"/>
        <v>42.269902912621362</v>
      </c>
      <c r="V137" s="200" t="s">
        <v>736</v>
      </c>
    </row>
    <row r="138" spans="1:48" ht="14.5" x14ac:dyDescent="0.35">
      <c r="A138" s="196" t="s">
        <v>73</v>
      </c>
      <c r="B138" s="197" t="s">
        <v>154</v>
      </c>
      <c r="C138" s="197" t="s">
        <v>13</v>
      </c>
      <c r="D138" s="197" t="s">
        <v>10</v>
      </c>
      <c r="E138" s="95" t="s">
        <v>452</v>
      </c>
      <c r="F138" s="249" t="s">
        <v>561</v>
      </c>
      <c r="G138" s="249" t="s">
        <v>12</v>
      </c>
      <c r="H138" s="265">
        <v>325</v>
      </c>
      <c r="I138" s="265">
        <v>189445</v>
      </c>
      <c r="J138" s="265">
        <f t="shared" si="33"/>
        <v>582.90769230769229</v>
      </c>
      <c r="K138" s="265">
        <v>330</v>
      </c>
      <c r="L138" s="265">
        <v>19</v>
      </c>
      <c r="M138" s="266">
        <f>SUM(K138)/O138</f>
        <v>0.94555873925501432</v>
      </c>
      <c r="N138" s="266">
        <f>SUM(L138)/O138</f>
        <v>5.4441260744985676E-2</v>
      </c>
      <c r="O138" s="265">
        <f>SUM(K138:L138)</f>
        <v>349</v>
      </c>
      <c r="P138" s="297">
        <v>65</v>
      </c>
      <c r="Q138" s="265">
        <f t="shared" si="40"/>
        <v>414</v>
      </c>
      <c r="R138" s="271">
        <v>837</v>
      </c>
      <c r="S138" s="298">
        <f t="shared" si="34"/>
        <v>1.0153846153846153</v>
      </c>
      <c r="T138" s="298">
        <f t="shared" si="35"/>
        <v>5.8461538461538461E-2</v>
      </c>
      <c r="U138" s="201">
        <f t="shared" si="36"/>
        <v>1.2738461538461539</v>
      </c>
      <c r="V138" s="200" t="s">
        <v>736</v>
      </c>
    </row>
    <row r="139" spans="1:48" ht="14.5" x14ac:dyDescent="0.35">
      <c r="A139" s="190" t="s">
        <v>73</v>
      </c>
      <c r="B139" s="191" t="s">
        <v>154</v>
      </c>
      <c r="C139" s="191" t="s">
        <v>14</v>
      </c>
      <c r="D139" s="191" t="s">
        <v>10</v>
      </c>
      <c r="E139" s="94" t="str">
        <f>HYPERLINK("https://youtube.com/MOFAUAE","https://youtube.com/MOFAUAE")</f>
        <v>https://youtube.com/MOFAUAE</v>
      </c>
      <c r="F139" s="249" t="s">
        <v>825</v>
      </c>
      <c r="G139" s="249" t="s">
        <v>12</v>
      </c>
      <c r="H139" s="265">
        <v>24</v>
      </c>
      <c r="I139" s="265">
        <v>316123</v>
      </c>
      <c r="J139" s="265">
        <f t="shared" si="33"/>
        <v>13171.791666666666</v>
      </c>
      <c r="K139" s="265">
        <v>1489</v>
      </c>
      <c r="L139" s="265">
        <v>90</v>
      </c>
      <c r="M139" s="266">
        <f>SUM(K139)/O139</f>
        <v>0.94300189993666883</v>
      </c>
      <c r="N139" s="266">
        <f>SUM(L139)/O139</f>
        <v>5.6998100063331225E-2</v>
      </c>
      <c r="O139" s="265">
        <f>SUM(K139:L139)</f>
        <v>1579</v>
      </c>
      <c r="P139" s="297">
        <v>1</v>
      </c>
      <c r="Q139" s="265">
        <f t="shared" si="40"/>
        <v>1580</v>
      </c>
      <c r="R139" s="269">
        <v>1150</v>
      </c>
      <c r="S139" s="298">
        <f t="shared" si="34"/>
        <v>62.041666666666664</v>
      </c>
      <c r="T139" s="298">
        <f t="shared" si="35"/>
        <v>3.75</v>
      </c>
      <c r="U139" s="201">
        <f t="shared" si="36"/>
        <v>65.833333333333329</v>
      </c>
      <c r="V139" s="200" t="s">
        <v>736</v>
      </c>
    </row>
    <row r="140" spans="1:48" ht="14.5" x14ac:dyDescent="0.35">
      <c r="A140" s="190" t="s">
        <v>73</v>
      </c>
      <c r="B140" s="191" t="s">
        <v>154</v>
      </c>
      <c r="C140" s="191" t="s">
        <v>14</v>
      </c>
      <c r="D140" s="191" t="s">
        <v>10</v>
      </c>
      <c r="E140" s="93" t="s">
        <v>155</v>
      </c>
      <c r="F140" s="249" t="s">
        <v>598</v>
      </c>
      <c r="G140" s="249" t="s">
        <v>12</v>
      </c>
      <c r="H140" s="265">
        <v>41</v>
      </c>
      <c r="I140" s="265">
        <v>24836</v>
      </c>
      <c r="J140" s="265">
        <f t="shared" si="33"/>
        <v>605.7560975609756</v>
      </c>
      <c r="K140" s="265">
        <v>0</v>
      </c>
      <c r="L140" s="265">
        <v>0</v>
      </c>
      <c r="M140" s="265">
        <v>0</v>
      </c>
      <c r="N140" s="265">
        <v>0</v>
      </c>
      <c r="O140" s="265">
        <v>0</v>
      </c>
      <c r="P140" s="297">
        <v>0</v>
      </c>
      <c r="Q140" s="265">
        <f t="shared" si="40"/>
        <v>0</v>
      </c>
      <c r="R140" s="270">
        <v>166</v>
      </c>
      <c r="S140" s="298">
        <f t="shared" si="34"/>
        <v>0</v>
      </c>
      <c r="T140" s="298">
        <f t="shared" si="35"/>
        <v>0</v>
      </c>
      <c r="U140" s="201">
        <f t="shared" si="36"/>
        <v>0</v>
      </c>
      <c r="V140" s="200" t="s">
        <v>736</v>
      </c>
    </row>
    <row r="141" spans="1:48" ht="14.5" x14ac:dyDescent="0.35">
      <c r="A141" s="190" t="s">
        <v>73</v>
      </c>
      <c r="B141" s="191" t="s">
        <v>158</v>
      </c>
      <c r="C141" s="191" t="s">
        <v>7</v>
      </c>
      <c r="D141" s="191" t="s">
        <v>5</v>
      </c>
      <c r="E141" s="93" t="s">
        <v>159</v>
      </c>
      <c r="F141" s="249" t="s">
        <v>539</v>
      </c>
      <c r="G141" s="249" t="s">
        <v>12</v>
      </c>
      <c r="H141" s="265">
        <v>7</v>
      </c>
      <c r="I141" s="265">
        <v>10280</v>
      </c>
      <c r="J141" s="265">
        <f t="shared" si="33"/>
        <v>1468.5714285714287</v>
      </c>
      <c r="K141" s="265">
        <v>135</v>
      </c>
      <c r="L141" s="265">
        <v>8</v>
      </c>
      <c r="M141" s="266">
        <f>SUM(K141)/O141</f>
        <v>0.94405594405594406</v>
      </c>
      <c r="N141" s="266">
        <f>SUM(L141)/O141</f>
        <v>5.5944055944055944E-2</v>
      </c>
      <c r="O141" s="265">
        <f>SUM(K141:L141)</f>
        <v>143</v>
      </c>
      <c r="P141" s="297">
        <v>12</v>
      </c>
      <c r="Q141" s="265">
        <f t="shared" si="40"/>
        <v>155</v>
      </c>
      <c r="R141" s="270">
        <v>467</v>
      </c>
      <c r="S141" s="298">
        <f t="shared" si="34"/>
        <v>19.285714285714285</v>
      </c>
      <c r="T141" s="298">
        <f t="shared" si="35"/>
        <v>1.1428571428571428</v>
      </c>
      <c r="U141" s="201">
        <f t="shared" si="36"/>
        <v>22.142857142857142</v>
      </c>
      <c r="V141" s="200" t="s">
        <v>736</v>
      </c>
    </row>
    <row r="142" spans="1:48" ht="14.5" x14ac:dyDescent="0.35">
      <c r="A142" s="190" t="s">
        <v>160</v>
      </c>
      <c r="B142" s="191" t="s">
        <v>161</v>
      </c>
      <c r="C142" s="191" t="s">
        <v>14</v>
      </c>
      <c r="D142" s="191" t="s">
        <v>10</v>
      </c>
      <c r="E142" s="94" t="str">
        <f>HYPERLINK("https://youtube.com/channel/UCDDn9tvI20lElkuITgnbkqg","https://youtube.com/channel/UCDDn9tvI20lElkuITgnbkqg")</f>
        <v>https://youtube.com/channel/UCDDn9tvI20lElkuITgnbkqg</v>
      </c>
      <c r="F142" s="249" t="s">
        <v>414</v>
      </c>
      <c r="G142" s="249" t="s">
        <v>12</v>
      </c>
      <c r="H142" s="265">
        <v>38</v>
      </c>
      <c r="I142" s="265">
        <v>3227</v>
      </c>
      <c r="J142" s="265">
        <f t="shared" ref="J142:J173" si="41">SUM(I142/H142)</f>
        <v>84.921052631578945</v>
      </c>
      <c r="K142" s="265">
        <v>26</v>
      </c>
      <c r="L142" s="265">
        <v>0</v>
      </c>
      <c r="M142" s="266">
        <f>SUM(K142)/O142</f>
        <v>1</v>
      </c>
      <c r="N142" s="266">
        <f>SUM(L142)/O142</f>
        <v>0</v>
      </c>
      <c r="O142" s="265">
        <f>SUM(K142:L142)</f>
        <v>26</v>
      </c>
      <c r="P142" s="297">
        <v>2</v>
      </c>
      <c r="Q142" s="265">
        <f t="shared" si="40"/>
        <v>28</v>
      </c>
      <c r="R142" s="269">
        <v>28</v>
      </c>
      <c r="S142" s="298">
        <f t="shared" ref="S142:S173" si="42">SUM(K142)/H142</f>
        <v>0.68421052631578949</v>
      </c>
      <c r="T142" s="298">
        <f t="shared" ref="T142:T173" si="43">SUM(L142)/H142</f>
        <v>0</v>
      </c>
      <c r="U142" s="201">
        <f t="shared" ref="U142:U173" si="44">SUM(Q142)/(H142)</f>
        <v>0.73684210526315785</v>
      </c>
      <c r="V142" s="200" t="s">
        <v>736</v>
      </c>
    </row>
    <row r="143" spans="1:48" ht="14.5" x14ac:dyDescent="0.35">
      <c r="A143" s="190" t="s">
        <v>160</v>
      </c>
      <c r="B143" s="191" t="s">
        <v>162</v>
      </c>
      <c r="C143" s="191" t="s">
        <v>13</v>
      </c>
      <c r="D143" s="191" t="s">
        <v>10</v>
      </c>
      <c r="E143" s="94" t="str">
        <f>HYPERLINK("https://youtube.com/GovernAndorra","https://youtube.com/GovernAndorra")</f>
        <v>https://youtube.com/GovernAndorra</v>
      </c>
      <c r="F143" s="249" t="s">
        <v>163</v>
      </c>
      <c r="G143" s="249" t="s">
        <v>773</v>
      </c>
      <c r="H143" s="265">
        <v>66</v>
      </c>
      <c r="I143" s="265">
        <v>56331</v>
      </c>
      <c r="J143" s="265">
        <f t="shared" si="41"/>
        <v>853.5</v>
      </c>
      <c r="K143" s="265">
        <v>263</v>
      </c>
      <c r="L143" s="265">
        <v>17</v>
      </c>
      <c r="M143" s="266">
        <f>SUM(K143)/O143</f>
        <v>0.93928571428571428</v>
      </c>
      <c r="N143" s="266">
        <f>SUM(L143)/O143</f>
        <v>6.0714285714285714E-2</v>
      </c>
      <c r="O143" s="265">
        <f>SUM(K143:L143)</f>
        <v>280</v>
      </c>
      <c r="P143" s="297">
        <v>28</v>
      </c>
      <c r="Q143" s="265">
        <f t="shared" si="40"/>
        <v>308</v>
      </c>
      <c r="R143" s="269">
        <v>187</v>
      </c>
      <c r="S143" s="298">
        <f t="shared" si="42"/>
        <v>3.9848484848484849</v>
      </c>
      <c r="T143" s="298">
        <f t="shared" si="43"/>
        <v>0.25757575757575757</v>
      </c>
      <c r="U143" s="201">
        <f t="shared" si="44"/>
        <v>4.666666666666667</v>
      </c>
      <c r="V143" s="200" t="s">
        <v>736</v>
      </c>
    </row>
    <row r="144" spans="1:48" ht="14.5" x14ac:dyDescent="0.35">
      <c r="A144" s="190" t="s">
        <v>160</v>
      </c>
      <c r="B144" s="191" t="s">
        <v>164</v>
      </c>
      <c r="C144" s="191" t="s">
        <v>4</v>
      </c>
      <c r="D144" s="191" t="s">
        <v>5</v>
      </c>
      <c r="E144" s="93" t="s">
        <v>165</v>
      </c>
      <c r="F144" s="249" t="s">
        <v>548</v>
      </c>
      <c r="G144" s="249" t="s">
        <v>6</v>
      </c>
      <c r="H144" s="265">
        <v>189</v>
      </c>
      <c r="I144" s="265">
        <v>160578</v>
      </c>
      <c r="J144" s="265">
        <f t="shared" si="41"/>
        <v>849.61904761904759</v>
      </c>
      <c r="K144" s="265">
        <v>554</v>
      </c>
      <c r="L144" s="265">
        <v>111</v>
      </c>
      <c r="M144" s="266">
        <f>SUM(K144)/O144</f>
        <v>0.83308270676691731</v>
      </c>
      <c r="N144" s="266">
        <f>SUM(L144)/O144</f>
        <v>0.16691729323308271</v>
      </c>
      <c r="O144" s="265">
        <f>SUM(K144:L144)</f>
        <v>665</v>
      </c>
      <c r="P144" s="297">
        <v>286</v>
      </c>
      <c r="Q144" s="265">
        <f t="shared" si="40"/>
        <v>951</v>
      </c>
      <c r="R144" s="270">
        <v>96</v>
      </c>
      <c r="S144" s="298">
        <f t="shared" si="42"/>
        <v>2.9312169312169312</v>
      </c>
      <c r="T144" s="298">
        <f t="shared" si="43"/>
        <v>0.58730158730158732</v>
      </c>
      <c r="U144" s="201">
        <f t="shared" si="44"/>
        <v>5.0317460317460316</v>
      </c>
      <c r="V144" s="200" t="s">
        <v>736</v>
      </c>
    </row>
    <row r="145" spans="1:22" ht="14.5" x14ac:dyDescent="0.35">
      <c r="A145" s="190" t="s">
        <v>160</v>
      </c>
      <c r="B145" s="191" t="s">
        <v>164</v>
      </c>
      <c r="C145" s="191" t="s">
        <v>166</v>
      </c>
      <c r="D145" s="191" t="s">
        <v>5</v>
      </c>
      <c r="E145" s="93" t="s">
        <v>167</v>
      </c>
      <c r="F145" s="249" t="s">
        <v>592</v>
      </c>
      <c r="G145" s="249" t="s">
        <v>12</v>
      </c>
      <c r="H145" s="265">
        <v>11</v>
      </c>
      <c r="I145" s="265">
        <v>6418</v>
      </c>
      <c r="J145" s="265">
        <f t="shared" si="41"/>
        <v>583.4545454545455</v>
      </c>
      <c r="K145" s="265">
        <v>0</v>
      </c>
      <c r="L145" s="265">
        <v>0</v>
      </c>
      <c r="M145" s="265">
        <v>0</v>
      </c>
      <c r="N145" s="265">
        <v>0</v>
      </c>
      <c r="O145" s="265">
        <v>0</v>
      </c>
      <c r="P145" s="297">
        <v>0</v>
      </c>
      <c r="Q145" s="265">
        <f t="shared" si="40"/>
        <v>0</v>
      </c>
      <c r="R145" s="270">
        <v>140</v>
      </c>
      <c r="S145" s="298">
        <f t="shared" si="42"/>
        <v>0</v>
      </c>
      <c r="T145" s="298">
        <f t="shared" si="43"/>
        <v>0</v>
      </c>
      <c r="U145" s="201">
        <f t="shared" si="44"/>
        <v>0</v>
      </c>
      <c r="V145" s="200" t="s">
        <v>736</v>
      </c>
    </row>
    <row r="146" spans="1:22" ht="14.5" x14ac:dyDescent="0.35">
      <c r="A146" s="190" t="s">
        <v>160</v>
      </c>
      <c r="B146" s="191" t="s">
        <v>164</v>
      </c>
      <c r="C146" s="191" t="s">
        <v>13</v>
      </c>
      <c r="D146" s="191" t="s">
        <v>10</v>
      </c>
      <c r="E146" s="94" t="str">
        <f>HYPERLINK("https://youtube.com/ihrbundeskanzleramt","https://youtube.com/ihrbundeskanzleramt")</f>
        <v>https://youtube.com/ihrbundeskanzleramt</v>
      </c>
      <c r="F146" s="249" t="s">
        <v>360</v>
      </c>
      <c r="G146" s="249" t="s">
        <v>12</v>
      </c>
      <c r="H146" s="265">
        <v>15</v>
      </c>
      <c r="I146" s="265">
        <v>3828</v>
      </c>
      <c r="J146" s="265">
        <f t="shared" si="41"/>
        <v>255.2</v>
      </c>
      <c r="K146" s="265">
        <v>21</v>
      </c>
      <c r="L146" s="265">
        <v>4</v>
      </c>
      <c r="M146" s="266">
        <f t="shared" ref="M146:M173" si="45">SUM(K146)/O146</f>
        <v>0.84</v>
      </c>
      <c r="N146" s="266">
        <f t="shared" ref="N146:N173" si="46">SUM(L146)/O146</f>
        <v>0.16</v>
      </c>
      <c r="O146" s="265">
        <f t="shared" ref="O146:O173" si="47">SUM(K146:L146)</f>
        <v>25</v>
      </c>
      <c r="P146" s="297">
        <v>2</v>
      </c>
      <c r="Q146" s="265">
        <f t="shared" si="40"/>
        <v>27</v>
      </c>
      <c r="R146" s="269">
        <v>30</v>
      </c>
      <c r="S146" s="298">
        <f t="shared" si="42"/>
        <v>1.4</v>
      </c>
      <c r="T146" s="298">
        <f t="shared" si="43"/>
        <v>0.26666666666666666</v>
      </c>
      <c r="U146" s="201">
        <f t="shared" si="44"/>
        <v>1.8</v>
      </c>
      <c r="V146" s="200" t="s">
        <v>736</v>
      </c>
    </row>
    <row r="147" spans="1:22" ht="14.5" x14ac:dyDescent="0.35">
      <c r="A147" s="190" t="s">
        <v>160</v>
      </c>
      <c r="B147" s="191" t="s">
        <v>164</v>
      </c>
      <c r="C147" s="191" t="s">
        <v>14</v>
      </c>
      <c r="D147" s="191" t="s">
        <v>10</v>
      </c>
      <c r="E147" s="94" t="str">
        <f>HYPERLINK("https://youtube.com/Minoritenplatz8","https://youtube.com/Minoritenplatz8")</f>
        <v>https://youtube.com/Minoritenplatz8</v>
      </c>
      <c r="F147" s="249" t="s">
        <v>495</v>
      </c>
      <c r="G147" s="249" t="s">
        <v>12</v>
      </c>
      <c r="H147" s="265">
        <v>138</v>
      </c>
      <c r="I147" s="265">
        <v>67897</v>
      </c>
      <c r="J147" s="265">
        <f t="shared" si="41"/>
        <v>492.00724637681162</v>
      </c>
      <c r="K147" s="265">
        <v>187</v>
      </c>
      <c r="L147" s="265">
        <v>32</v>
      </c>
      <c r="M147" s="266">
        <f t="shared" si="45"/>
        <v>0.85388127853881279</v>
      </c>
      <c r="N147" s="266">
        <f t="shared" si="46"/>
        <v>0.14611872146118721</v>
      </c>
      <c r="O147" s="265">
        <f t="shared" si="47"/>
        <v>219</v>
      </c>
      <c r="P147" s="297">
        <v>25</v>
      </c>
      <c r="Q147" s="265">
        <f t="shared" si="40"/>
        <v>244</v>
      </c>
      <c r="R147" s="269">
        <v>236</v>
      </c>
      <c r="S147" s="298">
        <f t="shared" si="42"/>
        <v>1.355072463768116</v>
      </c>
      <c r="T147" s="298">
        <f t="shared" si="43"/>
        <v>0.2318840579710145</v>
      </c>
      <c r="U147" s="201">
        <f t="shared" si="44"/>
        <v>1.7681159420289856</v>
      </c>
      <c r="V147" s="200" t="s">
        <v>736</v>
      </c>
    </row>
    <row r="148" spans="1:22" ht="14.5" x14ac:dyDescent="0.35">
      <c r="A148" s="190" t="s">
        <v>160</v>
      </c>
      <c r="B148" s="191" t="s">
        <v>168</v>
      </c>
      <c r="C148" s="191" t="s">
        <v>14</v>
      </c>
      <c r="D148" s="191" t="s">
        <v>10</v>
      </c>
      <c r="E148" s="94" t="str">
        <f>HYPERLINK("https://youtube.com/BelarusMFA","https://youtube.com/BelarusMFA")</f>
        <v>https://youtube.com/BelarusMFA</v>
      </c>
      <c r="F148" s="249" t="s">
        <v>416</v>
      </c>
      <c r="G148" s="249" t="s">
        <v>12</v>
      </c>
      <c r="H148" s="265">
        <v>84</v>
      </c>
      <c r="I148" s="265">
        <v>382963</v>
      </c>
      <c r="J148" s="265">
        <f t="shared" si="41"/>
        <v>4559.083333333333</v>
      </c>
      <c r="K148" s="265">
        <v>2927</v>
      </c>
      <c r="L148" s="265">
        <v>100</v>
      </c>
      <c r="M148" s="266">
        <f t="shared" si="45"/>
        <v>0.96696399074991746</v>
      </c>
      <c r="N148" s="266">
        <f t="shared" si="46"/>
        <v>3.3036009250082592E-2</v>
      </c>
      <c r="O148" s="265">
        <f t="shared" si="47"/>
        <v>3027</v>
      </c>
      <c r="P148" s="297">
        <v>100</v>
      </c>
      <c r="Q148" s="265">
        <f t="shared" si="40"/>
        <v>3127</v>
      </c>
      <c r="R148" s="269">
        <v>510</v>
      </c>
      <c r="S148" s="298">
        <f t="shared" si="42"/>
        <v>34.845238095238095</v>
      </c>
      <c r="T148" s="298">
        <f t="shared" si="43"/>
        <v>1.1904761904761905</v>
      </c>
      <c r="U148" s="201">
        <f t="shared" si="44"/>
        <v>37.226190476190474</v>
      </c>
      <c r="V148" s="200" t="s">
        <v>736</v>
      </c>
    </row>
    <row r="149" spans="1:22" ht="14.5" x14ac:dyDescent="0.35">
      <c r="A149" s="190" t="s">
        <v>160</v>
      </c>
      <c r="B149" s="191" t="s">
        <v>169</v>
      </c>
      <c r="C149" s="191" t="s">
        <v>29</v>
      </c>
      <c r="D149" s="191" t="s">
        <v>5</v>
      </c>
      <c r="E149" s="93" t="s">
        <v>1196</v>
      </c>
      <c r="F149" s="291" t="s">
        <v>1195</v>
      </c>
      <c r="G149" s="249" t="s">
        <v>12</v>
      </c>
      <c r="H149" s="206">
        <v>31</v>
      </c>
      <c r="I149" s="206">
        <v>502</v>
      </c>
      <c r="J149" s="265">
        <f t="shared" si="41"/>
        <v>16.193548387096776</v>
      </c>
      <c r="K149" s="206">
        <v>2</v>
      </c>
      <c r="L149" s="206">
        <v>0</v>
      </c>
      <c r="M149" s="266">
        <f t="shared" si="45"/>
        <v>1</v>
      </c>
      <c r="N149" s="266">
        <f t="shared" si="46"/>
        <v>0</v>
      </c>
      <c r="O149" s="265">
        <f t="shared" si="47"/>
        <v>2</v>
      </c>
      <c r="P149" s="206">
        <v>0</v>
      </c>
      <c r="Q149" s="265">
        <f t="shared" si="40"/>
        <v>2</v>
      </c>
      <c r="R149" s="302">
        <v>3</v>
      </c>
      <c r="S149" s="298">
        <f t="shared" si="42"/>
        <v>6.4516129032258063E-2</v>
      </c>
      <c r="T149" s="298">
        <f t="shared" si="43"/>
        <v>0</v>
      </c>
      <c r="U149" s="201">
        <f t="shared" si="44"/>
        <v>6.4516129032258063E-2</v>
      </c>
      <c r="V149" s="200" t="s">
        <v>736</v>
      </c>
    </row>
    <row r="150" spans="1:22" ht="14.5" x14ac:dyDescent="0.35">
      <c r="A150" s="190" t="s">
        <v>160</v>
      </c>
      <c r="B150" s="191" t="s">
        <v>169</v>
      </c>
      <c r="C150" s="191" t="s">
        <v>14</v>
      </c>
      <c r="D150" s="191" t="s">
        <v>10</v>
      </c>
      <c r="E150" s="93" t="s">
        <v>805</v>
      </c>
      <c r="F150" s="249" t="s">
        <v>415</v>
      </c>
      <c r="G150" s="249" t="s">
        <v>6</v>
      </c>
      <c r="H150" s="265">
        <v>1</v>
      </c>
      <c r="I150" s="265">
        <v>51</v>
      </c>
      <c r="J150" s="265">
        <f t="shared" si="41"/>
        <v>51</v>
      </c>
      <c r="K150" s="265">
        <v>2</v>
      </c>
      <c r="L150" s="265">
        <v>0</v>
      </c>
      <c r="M150" s="266">
        <f t="shared" si="45"/>
        <v>1</v>
      </c>
      <c r="N150" s="266">
        <f t="shared" si="46"/>
        <v>0</v>
      </c>
      <c r="O150" s="265">
        <f t="shared" si="47"/>
        <v>2</v>
      </c>
      <c r="P150" s="297">
        <v>0</v>
      </c>
      <c r="Q150" s="265">
        <f t="shared" si="40"/>
        <v>2</v>
      </c>
      <c r="R150" s="269">
        <v>8</v>
      </c>
      <c r="S150" s="298">
        <f t="shared" si="42"/>
        <v>2</v>
      </c>
      <c r="T150" s="298">
        <f t="shared" si="43"/>
        <v>0</v>
      </c>
      <c r="U150" s="201">
        <f t="shared" si="44"/>
        <v>2</v>
      </c>
      <c r="V150" s="200" t="s">
        <v>736</v>
      </c>
    </row>
    <row r="151" spans="1:22" ht="14.5" x14ac:dyDescent="0.35">
      <c r="A151" s="190" t="s">
        <v>160</v>
      </c>
      <c r="B151" s="191" t="s">
        <v>171</v>
      </c>
      <c r="C151" s="191" t="s">
        <v>7</v>
      </c>
      <c r="D151" s="191" t="s">
        <v>5</v>
      </c>
      <c r="E151" s="95" t="s">
        <v>453</v>
      </c>
      <c r="F151" s="249" t="s">
        <v>777</v>
      </c>
      <c r="G151" s="249" t="s">
        <v>12</v>
      </c>
      <c r="H151" s="265">
        <v>540</v>
      </c>
      <c r="I151" s="265">
        <v>1252984</v>
      </c>
      <c r="J151" s="265">
        <f t="shared" si="41"/>
        <v>2320.3407407407408</v>
      </c>
      <c r="K151" s="265">
        <v>17021</v>
      </c>
      <c r="L151" s="265">
        <v>1296</v>
      </c>
      <c r="M151" s="266">
        <f t="shared" si="45"/>
        <v>0.92924605557678663</v>
      </c>
      <c r="N151" s="266">
        <f t="shared" si="46"/>
        <v>7.0753944423213408E-2</v>
      </c>
      <c r="O151" s="265">
        <f t="shared" si="47"/>
        <v>18317</v>
      </c>
      <c r="P151" s="297">
        <v>4567</v>
      </c>
      <c r="Q151" s="265">
        <f t="shared" si="40"/>
        <v>22884</v>
      </c>
      <c r="R151" s="299">
        <v>4214</v>
      </c>
      <c r="S151" s="298">
        <f t="shared" si="42"/>
        <v>31.520370370370369</v>
      </c>
      <c r="T151" s="298">
        <f t="shared" si="43"/>
        <v>2.4</v>
      </c>
      <c r="U151" s="201">
        <f t="shared" si="44"/>
        <v>42.37777777777778</v>
      </c>
      <c r="V151" s="200" t="s">
        <v>736</v>
      </c>
    </row>
    <row r="152" spans="1:22" ht="14.5" x14ac:dyDescent="0.35">
      <c r="A152" s="190" t="s">
        <v>160</v>
      </c>
      <c r="B152" s="191" t="s">
        <v>171</v>
      </c>
      <c r="C152" s="191" t="s">
        <v>14</v>
      </c>
      <c r="D152" s="191" t="s">
        <v>10</v>
      </c>
      <c r="E152" s="94" t="str">
        <f>HYPERLINK("https://youtube.com/channel/UCky1dYxODbzZmrnmvsY415A","https://youtube.com/channel/UCky1dYxODbzZmrnmvsY415A")</f>
        <v>https://youtube.com/channel/UCky1dYxODbzZmrnmvsY415A</v>
      </c>
      <c r="F152" s="249" t="s">
        <v>412</v>
      </c>
      <c r="G152" s="249" t="s">
        <v>12</v>
      </c>
      <c r="H152" s="265">
        <v>135</v>
      </c>
      <c r="I152" s="265">
        <v>11529</v>
      </c>
      <c r="J152" s="265">
        <f t="shared" si="41"/>
        <v>85.4</v>
      </c>
      <c r="K152" s="265">
        <v>57</v>
      </c>
      <c r="L152" s="265">
        <v>5</v>
      </c>
      <c r="M152" s="266">
        <f t="shared" si="45"/>
        <v>0.91935483870967738</v>
      </c>
      <c r="N152" s="266">
        <f t="shared" si="46"/>
        <v>8.0645161290322578E-2</v>
      </c>
      <c r="O152" s="265">
        <f t="shared" si="47"/>
        <v>62</v>
      </c>
      <c r="P152" s="297">
        <v>11</v>
      </c>
      <c r="Q152" s="265">
        <f t="shared" si="40"/>
        <v>73</v>
      </c>
      <c r="R152" s="269">
        <v>76</v>
      </c>
      <c r="S152" s="298">
        <f t="shared" si="42"/>
        <v>0.42222222222222222</v>
      </c>
      <c r="T152" s="298">
        <f t="shared" si="43"/>
        <v>3.7037037037037035E-2</v>
      </c>
      <c r="U152" s="201">
        <f t="shared" si="44"/>
        <v>0.54074074074074074</v>
      </c>
      <c r="V152" s="200" t="s">
        <v>736</v>
      </c>
    </row>
    <row r="153" spans="1:22" ht="14.5" x14ac:dyDescent="0.35">
      <c r="A153" s="190" t="s">
        <v>160</v>
      </c>
      <c r="B153" s="191" t="s">
        <v>172</v>
      </c>
      <c r="C153" s="191" t="s">
        <v>13</v>
      </c>
      <c r="D153" s="191" t="s">
        <v>10</v>
      </c>
      <c r="E153" s="94" t="str">
        <f>HYPERLINK("https://youtube.com/wwwvladahr","https://youtube.com/wwwvladahr")</f>
        <v>https://youtube.com/wwwvladahr</v>
      </c>
      <c r="F153" s="249" t="s">
        <v>173</v>
      </c>
      <c r="G153" s="249" t="s">
        <v>12</v>
      </c>
      <c r="H153" s="265">
        <v>23</v>
      </c>
      <c r="I153" s="265">
        <v>12968</v>
      </c>
      <c r="J153" s="265">
        <f t="shared" si="41"/>
        <v>563.82608695652175</v>
      </c>
      <c r="K153" s="265">
        <v>110</v>
      </c>
      <c r="L153" s="265">
        <v>40</v>
      </c>
      <c r="M153" s="266">
        <f t="shared" si="45"/>
        <v>0.73333333333333328</v>
      </c>
      <c r="N153" s="266">
        <f t="shared" si="46"/>
        <v>0.26666666666666666</v>
      </c>
      <c r="O153" s="265">
        <f t="shared" si="47"/>
        <v>150</v>
      </c>
      <c r="P153" s="297">
        <v>1</v>
      </c>
      <c r="Q153" s="265">
        <f t="shared" si="40"/>
        <v>151</v>
      </c>
      <c r="R153" s="269">
        <v>1579</v>
      </c>
      <c r="S153" s="298">
        <f t="shared" si="42"/>
        <v>4.7826086956521738</v>
      </c>
      <c r="T153" s="298">
        <f t="shared" si="43"/>
        <v>1.7391304347826086</v>
      </c>
      <c r="U153" s="201">
        <f t="shared" si="44"/>
        <v>6.5652173913043477</v>
      </c>
      <c r="V153" s="197" t="s">
        <v>736</v>
      </c>
    </row>
    <row r="154" spans="1:22" ht="14.5" x14ac:dyDescent="0.35">
      <c r="A154" s="190" t="s">
        <v>160</v>
      </c>
      <c r="B154" s="191" t="s">
        <v>172</v>
      </c>
      <c r="C154" s="191" t="s">
        <v>14</v>
      </c>
      <c r="D154" s="191" t="s">
        <v>10</v>
      </c>
      <c r="E154" s="94" t="str">
        <f>HYPERLINK("https://youtube.com/mveprh","https://youtube.com/mveprh")</f>
        <v>https://youtube.com/mveprh</v>
      </c>
      <c r="F154" s="249" t="s">
        <v>411</v>
      </c>
      <c r="G154" s="249" t="s">
        <v>12</v>
      </c>
      <c r="H154" s="265">
        <v>151</v>
      </c>
      <c r="I154" s="265">
        <v>51275</v>
      </c>
      <c r="J154" s="265">
        <f t="shared" si="41"/>
        <v>339.56953642384104</v>
      </c>
      <c r="K154" s="265">
        <v>181</v>
      </c>
      <c r="L154" s="265">
        <v>502</v>
      </c>
      <c r="M154" s="266">
        <f t="shared" si="45"/>
        <v>0.26500732064421667</v>
      </c>
      <c r="N154" s="266">
        <f t="shared" si="46"/>
        <v>0.73499267935578327</v>
      </c>
      <c r="O154" s="265">
        <f t="shared" si="47"/>
        <v>683</v>
      </c>
      <c r="P154" s="297">
        <v>11</v>
      </c>
      <c r="Q154" s="265">
        <f t="shared" si="40"/>
        <v>694</v>
      </c>
      <c r="R154" s="269">
        <v>60</v>
      </c>
      <c r="S154" s="298">
        <f t="shared" si="42"/>
        <v>1.1986754966887416</v>
      </c>
      <c r="T154" s="298">
        <f t="shared" si="43"/>
        <v>3.3245033112582782</v>
      </c>
      <c r="U154" s="201">
        <f t="shared" si="44"/>
        <v>4.5960264900662251</v>
      </c>
      <c r="V154" s="200" t="s">
        <v>736</v>
      </c>
    </row>
    <row r="155" spans="1:22" ht="14.5" x14ac:dyDescent="0.35">
      <c r="A155" s="198" t="s">
        <v>160</v>
      </c>
      <c r="B155" s="193" t="s">
        <v>176</v>
      </c>
      <c r="C155" s="191" t="s">
        <v>14</v>
      </c>
      <c r="D155" s="191" t="s">
        <v>10</v>
      </c>
      <c r="E155" s="94" t="str">
        <f>HYPERLINK("https://youtube.com/udenrigsministeriet","https://youtube.com/udenrigsministeriet")</f>
        <v>https://youtube.com/udenrigsministeriet</v>
      </c>
      <c r="F155" s="249" t="s">
        <v>395</v>
      </c>
      <c r="G155" s="249" t="s">
        <v>12</v>
      </c>
      <c r="H155" s="265">
        <v>256</v>
      </c>
      <c r="I155" s="265">
        <v>1381284</v>
      </c>
      <c r="J155" s="265">
        <f t="shared" si="41"/>
        <v>5395.640625</v>
      </c>
      <c r="K155" s="265">
        <v>2422</v>
      </c>
      <c r="L155" s="265">
        <v>333</v>
      </c>
      <c r="M155" s="266">
        <f t="shared" si="45"/>
        <v>0.87912885662431939</v>
      </c>
      <c r="N155" s="266">
        <f t="shared" si="46"/>
        <v>0.12087114337568058</v>
      </c>
      <c r="O155" s="265">
        <f t="shared" si="47"/>
        <v>2755</v>
      </c>
      <c r="P155" s="297">
        <v>20</v>
      </c>
      <c r="Q155" s="265">
        <f t="shared" si="40"/>
        <v>2775</v>
      </c>
      <c r="R155" s="269">
        <v>1025</v>
      </c>
      <c r="S155" s="298">
        <f t="shared" si="42"/>
        <v>9.4609375</v>
      </c>
      <c r="T155" s="298">
        <f t="shared" si="43"/>
        <v>1.30078125</v>
      </c>
      <c r="U155" s="201">
        <f t="shared" si="44"/>
        <v>10.83984375</v>
      </c>
      <c r="V155" s="197" t="s">
        <v>736</v>
      </c>
    </row>
    <row r="156" spans="1:22" ht="14.5" x14ac:dyDescent="0.35">
      <c r="A156" s="190" t="s">
        <v>160</v>
      </c>
      <c r="B156" s="191" t="s">
        <v>177</v>
      </c>
      <c r="C156" s="191" t="s">
        <v>4</v>
      </c>
      <c r="D156" s="191" t="s">
        <v>5</v>
      </c>
      <c r="E156" s="94" t="str">
        <f>HYPERLINK("https://youtube.com/presidendikantselei","https://youtube.com/presidendikantselei")</f>
        <v>https://youtube.com/presidendikantselei</v>
      </c>
      <c r="F156" s="249" t="s">
        <v>376</v>
      </c>
      <c r="G156" s="249" t="s">
        <v>12</v>
      </c>
      <c r="H156" s="265">
        <v>83</v>
      </c>
      <c r="I156" s="265">
        <v>87542</v>
      </c>
      <c r="J156" s="265">
        <f t="shared" si="41"/>
        <v>1054.7228915662652</v>
      </c>
      <c r="K156" s="265">
        <v>615</v>
      </c>
      <c r="L156" s="265">
        <v>194</v>
      </c>
      <c r="M156" s="266">
        <f t="shared" si="45"/>
        <v>0.76019777503090236</v>
      </c>
      <c r="N156" s="266">
        <f t="shared" si="46"/>
        <v>0.23980222496909764</v>
      </c>
      <c r="O156" s="265">
        <f t="shared" si="47"/>
        <v>809</v>
      </c>
      <c r="P156" s="297">
        <v>117</v>
      </c>
      <c r="Q156" s="265">
        <f t="shared" si="40"/>
        <v>926</v>
      </c>
      <c r="R156" s="269">
        <v>382</v>
      </c>
      <c r="S156" s="298">
        <f t="shared" si="42"/>
        <v>7.4096385542168672</v>
      </c>
      <c r="T156" s="298">
        <f t="shared" si="43"/>
        <v>2.3373493975903616</v>
      </c>
      <c r="U156" s="201">
        <f t="shared" si="44"/>
        <v>11.156626506024097</v>
      </c>
      <c r="V156" s="197" t="s">
        <v>736</v>
      </c>
    </row>
    <row r="157" spans="1:22" ht="14.5" x14ac:dyDescent="0.35">
      <c r="A157" s="190" t="s">
        <v>160</v>
      </c>
      <c r="B157" s="191" t="s">
        <v>177</v>
      </c>
      <c r="C157" s="191" t="s">
        <v>13</v>
      </c>
      <c r="D157" s="191" t="s">
        <v>10</v>
      </c>
      <c r="E157" s="94" t="str">
        <f>HYPERLINK("https://youtube.com/valitsuseuudised","https://youtube.com/valitsuseuudised")</f>
        <v>https://youtube.com/valitsuseuudised</v>
      </c>
      <c r="F157" s="249" t="s">
        <v>347</v>
      </c>
      <c r="G157" s="249" t="s">
        <v>12</v>
      </c>
      <c r="H157" s="265">
        <v>705</v>
      </c>
      <c r="I157" s="265">
        <v>131426</v>
      </c>
      <c r="J157" s="265">
        <f t="shared" si="41"/>
        <v>186.41985815602837</v>
      </c>
      <c r="K157" s="265">
        <v>315</v>
      </c>
      <c r="L157" s="265">
        <v>161</v>
      </c>
      <c r="M157" s="266">
        <f t="shared" si="45"/>
        <v>0.66176470588235292</v>
      </c>
      <c r="N157" s="266">
        <f t="shared" si="46"/>
        <v>0.33823529411764708</v>
      </c>
      <c r="O157" s="265">
        <f t="shared" si="47"/>
        <v>476</v>
      </c>
      <c r="P157" s="297">
        <v>41</v>
      </c>
      <c r="Q157" s="265">
        <f t="shared" si="40"/>
        <v>517</v>
      </c>
      <c r="R157" s="269">
        <v>217</v>
      </c>
      <c r="S157" s="298">
        <f t="shared" si="42"/>
        <v>0.44680851063829785</v>
      </c>
      <c r="T157" s="298">
        <f t="shared" si="43"/>
        <v>0.22836879432624113</v>
      </c>
      <c r="U157" s="201">
        <f t="shared" si="44"/>
        <v>0.73333333333333328</v>
      </c>
      <c r="V157" s="197" t="s">
        <v>736</v>
      </c>
    </row>
    <row r="158" spans="1:22" ht="14.5" x14ac:dyDescent="0.35">
      <c r="A158" s="190" t="s">
        <v>160</v>
      </c>
      <c r="B158" s="191" t="s">
        <v>177</v>
      </c>
      <c r="C158" s="191" t="s">
        <v>14</v>
      </c>
      <c r="D158" s="191" t="s">
        <v>10</v>
      </c>
      <c r="E158" s="94" t="str">
        <f>HYPERLINK("https://youtube.com/estonianmfa","https://youtube.com/estonianmfa")</f>
        <v>https://youtube.com/estonianmfa</v>
      </c>
      <c r="F158" s="249" t="s">
        <v>409</v>
      </c>
      <c r="G158" s="249" t="s">
        <v>12</v>
      </c>
      <c r="H158" s="265">
        <v>15</v>
      </c>
      <c r="I158" s="265">
        <v>193203</v>
      </c>
      <c r="J158" s="265">
        <f t="shared" si="41"/>
        <v>12880.2</v>
      </c>
      <c r="K158" s="265">
        <v>865</v>
      </c>
      <c r="L158" s="265">
        <v>29</v>
      </c>
      <c r="M158" s="266">
        <f t="shared" si="45"/>
        <v>0.96756152125279637</v>
      </c>
      <c r="N158" s="266">
        <f t="shared" si="46"/>
        <v>3.2438478747203577E-2</v>
      </c>
      <c r="O158" s="265">
        <f t="shared" si="47"/>
        <v>894</v>
      </c>
      <c r="P158" s="297">
        <v>181</v>
      </c>
      <c r="Q158" s="265">
        <f t="shared" si="40"/>
        <v>1075</v>
      </c>
      <c r="R158" s="269">
        <v>223</v>
      </c>
      <c r="S158" s="298">
        <f t="shared" si="42"/>
        <v>57.666666666666664</v>
      </c>
      <c r="T158" s="298">
        <f t="shared" si="43"/>
        <v>1.9333333333333333</v>
      </c>
      <c r="U158" s="201">
        <f t="shared" si="44"/>
        <v>71.666666666666671</v>
      </c>
      <c r="V158" s="200" t="s">
        <v>736</v>
      </c>
    </row>
    <row r="159" spans="1:22" ht="14.5" x14ac:dyDescent="0.35">
      <c r="A159" s="190" t="s">
        <v>160</v>
      </c>
      <c r="B159" s="191" t="s">
        <v>178</v>
      </c>
      <c r="C159" s="191" t="s">
        <v>179</v>
      </c>
      <c r="D159" s="191" t="s">
        <v>10</v>
      </c>
      <c r="E159" s="93" t="s">
        <v>180</v>
      </c>
      <c r="F159" s="249" t="s">
        <v>566</v>
      </c>
      <c r="G159" s="249" t="s">
        <v>12</v>
      </c>
      <c r="H159" s="265">
        <v>624</v>
      </c>
      <c r="I159" s="265">
        <v>381832</v>
      </c>
      <c r="J159" s="265">
        <f t="shared" si="41"/>
        <v>611.91025641025647</v>
      </c>
      <c r="K159" s="265">
        <v>2225</v>
      </c>
      <c r="L159" s="265">
        <v>398</v>
      </c>
      <c r="M159" s="266">
        <f t="shared" si="45"/>
        <v>0.84826534502478079</v>
      </c>
      <c r="N159" s="266">
        <f t="shared" si="46"/>
        <v>0.15173465497521921</v>
      </c>
      <c r="O159" s="265">
        <f t="shared" si="47"/>
        <v>2623</v>
      </c>
      <c r="P159" s="297">
        <v>333</v>
      </c>
      <c r="Q159" s="265">
        <f t="shared" si="40"/>
        <v>2956</v>
      </c>
      <c r="R159" s="270">
        <v>4477</v>
      </c>
      <c r="S159" s="298">
        <f t="shared" si="42"/>
        <v>3.5657051282051282</v>
      </c>
      <c r="T159" s="298">
        <f t="shared" si="43"/>
        <v>0.63782051282051277</v>
      </c>
      <c r="U159" s="201">
        <f t="shared" si="44"/>
        <v>4.7371794871794872</v>
      </c>
      <c r="V159" s="200" t="s">
        <v>736</v>
      </c>
    </row>
    <row r="160" spans="1:22" ht="14.5" x14ac:dyDescent="0.35">
      <c r="A160" s="190" t="s">
        <v>160</v>
      </c>
      <c r="B160" s="191" t="s">
        <v>178</v>
      </c>
      <c r="C160" s="197" t="s">
        <v>181</v>
      </c>
      <c r="D160" s="197" t="s">
        <v>10</v>
      </c>
      <c r="E160" s="94" t="str">
        <f>HYPERLINK("https://youtube.com/eutube","https://youtube.com/eutube")</f>
        <v>https://youtube.com/eutube</v>
      </c>
      <c r="F160" s="249" t="s">
        <v>182</v>
      </c>
      <c r="G160" s="249" t="s">
        <v>12</v>
      </c>
      <c r="H160" s="265">
        <v>914</v>
      </c>
      <c r="I160" s="265">
        <v>25091698</v>
      </c>
      <c r="J160" s="265">
        <f t="shared" si="41"/>
        <v>27452.623632385119</v>
      </c>
      <c r="K160" s="265">
        <v>42709</v>
      </c>
      <c r="L160" s="265">
        <v>9945</v>
      </c>
      <c r="M160" s="266">
        <f t="shared" si="45"/>
        <v>0.81112546055380408</v>
      </c>
      <c r="N160" s="266">
        <f t="shared" si="46"/>
        <v>0.18887453944619592</v>
      </c>
      <c r="O160" s="265">
        <f t="shared" si="47"/>
        <v>52654</v>
      </c>
      <c r="P160" s="297">
        <v>12995</v>
      </c>
      <c r="Q160" s="265">
        <f t="shared" si="40"/>
        <v>65649</v>
      </c>
      <c r="R160" s="270">
        <v>34330</v>
      </c>
      <c r="S160" s="298">
        <f t="shared" si="42"/>
        <v>46.727571115973738</v>
      </c>
      <c r="T160" s="298">
        <f t="shared" si="43"/>
        <v>10.880743982494529</v>
      </c>
      <c r="U160" s="201">
        <f t="shared" si="44"/>
        <v>71.826039387308541</v>
      </c>
      <c r="V160" s="200" t="s">
        <v>735</v>
      </c>
    </row>
    <row r="161" spans="1:48" ht="14.5" x14ac:dyDescent="0.35">
      <c r="A161" s="190" t="s">
        <v>160</v>
      </c>
      <c r="B161" s="191" t="s">
        <v>178</v>
      </c>
      <c r="C161" s="197" t="s">
        <v>14</v>
      </c>
      <c r="D161" s="197" t="s">
        <v>10</v>
      </c>
      <c r="E161" s="94" t="str">
        <f>HYPERLINK("https://youtube.com/EUExternalAction","https://youtube.com/EUExternalAction")</f>
        <v>https://youtube.com/EUExternalAction</v>
      </c>
      <c r="F161" s="249" t="s">
        <v>423</v>
      </c>
      <c r="G161" s="249" t="s">
        <v>12</v>
      </c>
      <c r="H161" s="265">
        <v>676</v>
      </c>
      <c r="I161" s="265">
        <v>216132</v>
      </c>
      <c r="J161" s="265">
        <f t="shared" si="41"/>
        <v>319.72189349112426</v>
      </c>
      <c r="K161" s="265">
        <v>1162</v>
      </c>
      <c r="L161" s="265">
        <v>316</v>
      </c>
      <c r="M161" s="266">
        <f t="shared" si="45"/>
        <v>0.7861975642760487</v>
      </c>
      <c r="N161" s="266">
        <f t="shared" si="46"/>
        <v>0.21380243572395127</v>
      </c>
      <c r="O161" s="265">
        <f t="shared" si="47"/>
        <v>1478</v>
      </c>
      <c r="P161" s="297">
        <v>323</v>
      </c>
      <c r="Q161" s="265">
        <f t="shared" si="40"/>
        <v>1801</v>
      </c>
      <c r="R161" s="269">
        <v>1514</v>
      </c>
      <c r="S161" s="298">
        <f t="shared" si="42"/>
        <v>1.7189349112426036</v>
      </c>
      <c r="T161" s="298">
        <f t="shared" si="43"/>
        <v>0.46745562130177515</v>
      </c>
      <c r="U161" s="201">
        <f t="shared" si="44"/>
        <v>2.6642011834319526</v>
      </c>
      <c r="V161" s="200" t="s">
        <v>736</v>
      </c>
    </row>
    <row r="162" spans="1:48" ht="14.5" x14ac:dyDescent="0.35">
      <c r="A162" s="190" t="s">
        <v>160</v>
      </c>
      <c r="B162" s="191" t="s">
        <v>183</v>
      </c>
      <c r="C162" s="191" t="s">
        <v>4</v>
      </c>
      <c r="D162" s="191" t="s">
        <v>5</v>
      </c>
      <c r="E162" s="93" t="s">
        <v>184</v>
      </c>
      <c r="F162" s="249" t="s">
        <v>540</v>
      </c>
      <c r="G162" s="249" t="s">
        <v>6</v>
      </c>
      <c r="H162" s="265">
        <v>13</v>
      </c>
      <c r="I162" s="265">
        <v>8745</v>
      </c>
      <c r="J162" s="265">
        <f t="shared" si="41"/>
        <v>672.69230769230774</v>
      </c>
      <c r="K162" s="265">
        <v>19</v>
      </c>
      <c r="L162" s="265">
        <v>18</v>
      </c>
      <c r="M162" s="266">
        <f t="shared" si="45"/>
        <v>0.51351351351351349</v>
      </c>
      <c r="N162" s="266">
        <f t="shared" si="46"/>
        <v>0.48648648648648651</v>
      </c>
      <c r="O162" s="265">
        <f t="shared" si="47"/>
        <v>37</v>
      </c>
      <c r="P162" s="297">
        <v>8</v>
      </c>
      <c r="Q162" s="265">
        <f t="shared" si="40"/>
        <v>45</v>
      </c>
      <c r="R162" s="270">
        <v>9</v>
      </c>
      <c r="S162" s="298">
        <f t="shared" si="42"/>
        <v>1.4615384615384615</v>
      </c>
      <c r="T162" s="298">
        <f t="shared" si="43"/>
        <v>1.3846153846153846</v>
      </c>
      <c r="U162" s="201">
        <f t="shared" si="44"/>
        <v>3.4615384615384617</v>
      </c>
      <c r="V162" s="200" t="s">
        <v>736</v>
      </c>
    </row>
    <row r="163" spans="1:48" ht="14.5" x14ac:dyDescent="0.35">
      <c r="A163" s="190" t="s">
        <v>160</v>
      </c>
      <c r="B163" s="191" t="s">
        <v>183</v>
      </c>
      <c r="C163" s="191" t="s">
        <v>7</v>
      </c>
      <c r="D163" s="191" t="s">
        <v>5</v>
      </c>
      <c r="E163" s="93" t="s">
        <v>185</v>
      </c>
      <c r="F163" s="249" t="s">
        <v>815</v>
      </c>
      <c r="G163" s="249" t="s">
        <v>6</v>
      </c>
      <c r="H163" s="265">
        <v>15</v>
      </c>
      <c r="I163" s="265">
        <v>9740</v>
      </c>
      <c r="J163" s="265">
        <f t="shared" si="41"/>
        <v>649.33333333333337</v>
      </c>
      <c r="K163" s="265">
        <v>172</v>
      </c>
      <c r="L163" s="265">
        <v>88</v>
      </c>
      <c r="M163" s="266">
        <f t="shared" si="45"/>
        <v>0.66153846153846152</v>
      </c>
      <c r="N163" s="266">
        <f t="shared" si="46"/>
        <v>0.33846153846153848</v>
      </c>
      <c r="O163" s="265">
        <f t="shared" si="47"/>
        <v>260</v>
      </c>
      <c r="P163" s="297">
        <v>43</v>
      </c>
      <c r="Q163" s="265">
        <f t="shared" si="40"/>
        <v>303</v>
      </c>
      <c r="R163" s="270">
        <v>152</v>
      </c>
      <c r="S163" s="298">
        <f t="shared" si="42"/>
        <v>11.466666666666667</v>
      </c>
      <c r="T163" s="298">
        <f t="shared" si="43"/>
        <v>5.8666666666666663</v>
      </c>
      <c r="U163" s="201">
        <f t="shared" si="44"/>
        <v>20.2</v>
      </c>
      <c r="V163" s="200" t="s">
        <v>736</v>
      </c>
    </row>
    <row r="164" spans="1:48" ht="14.5" x14ac:dyDescent="0.35">
      <c r="A164" s="190" t="s">
        <v>160</v>
      </c>
      <c r="B164" s="191" t="s">
        <v>183</v>
      </c>
      <c r="C164" s="191" t="s">
        <v>13</v>
      </c>
      <c r="D164" s="191" t="s">
        <v>10</v>
      </c>
      <c r="E164" s="94" t="str">
        <f>HYPERLINK("https://youtube.com/VladaMakedonija","https://youtube.com/VladaMakedonija")</f>
        <v>https://youtube.com/VladaMakedonija</v>
      </c>
      <c r="F164" s="249" t="s">
        <v>352</v>
      </c>
      <c r="G164" s="249" t="s">
        <v>6</v>
      </c>
      <c r="H164" s="265">
        <v>8</v>
      </c>
      <c r="I164" s="265">
        <v>3289</v>
      </c>
      <c r="J164" s="265">
        <f t="shared" si="41"/>
        <v>411.125</v>
      </c>
      <c r="K164" s="265">
        <v>26</v>
      </c>
      <c r="L164" s="265">
        <v>34</v>
      </c>
      <c r="M164" s="266">
        <f t="shared" si="45"/>
        <v>0.43333333333333335</v>
      </c>
      <c r="N164" s="266">
        <f t="shared" si="46"/>
        <v>0.56666666666666665</v>
      </c>
      <c r="O164" s="265">
        <f t="shared" si="47"/>
        <v>60</v>
      </c>
      <c r="P164" s="297">
        <v>18</v>
      </c>
      <c r="Q164" s="265">
        <f t="shared" si="40"/>
        <v>78</v>
      </c>
      <c r="R164" s="269">
        <v>92</v>
      </c>
      <c r="S164" s="298">
        <f t="shared" si="42"/>
        <v>3.25</v>
      </c>
      <c r="T164" s="298">
        <f t="shared" si="43"/>
        <v>4.25</v>
      </c>
      <c r="U164" s="201">
        <f t="shared" si="44"/>
        <v>9.75</v>
      </c>
      <c r="V164" s="197" t="s">
        <v>736</v>
      </c>
    </row>
    <row r="165" spans="1:48" ht="14.5" x14ac:dyDescent="0.35">
      <c r="A165" s="190" t="s">
        <v>160</v>
      </c>
      <c r="B165" s="191" t="s">
        <v>183</v>
      </c>
      <c r="C165" s="191" t="s">
        <v>29</v>
      </c>
      <c r="D165" s="191" t="s">
        <v>5</v>
      </c>
      <c r="E165" s="94" t="str">
        <f>HYPERLINK("https://youtube.com/mnrmakedonija","https://youtube.com/mnrmakedonija")</f>
        <v>https://youtube.com/mnrmakedonija</v>
      </c>
      <c r="F165" s="249" t="s">
        <v>408</v>
      </c>
      <c r="G165" s="249" t="s">
        <v>6</v>
      </c>
      <c r="H165" s="265">
        <v>177</v>
      </c>
      <c r="I165" s="265">
        <v>12435</v>
      </c>
      <c r="J165" s="265">
        <f t="shared" si="41"/>
        <v>70.254237288135599</v>
      </c>
      <c r="K165" s="265">
        <v>160</v>
      </c>
      <c r="L165" s="265">
        <v>3</v>
      </c>
      <c r="M165" s="266">
        <f t="shared" si="45"/>
        <v>0.98159509202453987</v>
      </c>
      <c r="N165" s="266">
        <f t="shared" si="46"/>
        <v>1.8404907975460124E-2</v>
      </c>
      <c r="O165" s="265">
        <f t="shared" si="47"/>
        <v>163</v>
      </c>
      <c r="P165" s="297">
        <v>1</v>
      </c>
      <c r="Q165" s="265">
        <f t="shared" si="40"/>
        <v>164</v>
      </c>
      <c r="R165" s="269">
        <v>26</v>
      </c>
      <c r="S165" s="298">
        <f t="shared" si="42"/>
        <v>0.903954802259887</v>
      </c>
      <c r="T165" s="298">
        <f t="shared" si="43"/>
        <v>1.6949152542372881E-2</v>
      </c>
      <c r="U165" s="201">
        <f t="shared" si="44"/>
        <v>0.92655367231638419</v>
      </c>
      <c r="V165" s="200" t="s">
        <v>736</v>
      </c>
    </row>
    <row r="166" spans="1:48" ht="14.5" x14ac:dyDescent="0.35">
      <c r="A166" s="190" t="s">
        <v>160</v>
      </c>
      <c r="B166" s="191" t="s">
        <v>186</v>
      </c>
      <c r="C166" s="191" t="s">
        <v>9</v>
      </c>
      <c r="D166" s="191" t="s">
        <v>10</v>
      </c>
      <c r="E166" s="93" t="s">
        <v>187</v>
      </c>
      <c r="F166" s="249" t="s">
        <v>555</v>
      </c>
      <c r="G166" s="249" t="s">
        <v>12</v>
      </c>
      <c r="H166" s="265">
        <v>7</v>
      </c>
      <c r="I166" s="265">
        <v>2763</v>
      </c>
      <c r="J166" s="265">
        <f t="shared" si="41"/>
        <v>394.71428571428572</v>
      </c>
      <c r="K166" s="265">
        <v>12</v>
      </c>
      <c r="L166" s="265">
        <v>2</v>
      </c>
      <c r="M166" s="266">
        <f t="shared" si="45"/>
        <v>0.8571428571428571</v>
      </c>
      <c r="N166" s="266">
        <f t="shared" si="46"/>
        <v>0.14285714285714285</v>
      </c>
      <c r="O166" s="265">
        <f t="shared" si="47"/>
        <v>14</v>
      </c>
      <c r="P166" s="297">
        <v>1</v>
      </c>
      <c r="Q166" s="265">
        <f t="shared" si="40"/>
        <v>15</v>
      </c>
      <c r="R166" s="270">
        <v>6</v>
      </c>
      <c r="S166" s="298">
        <f t="shared" si="42"/>
        <v>1.7142857142857142</v>
      </c>
      <c r="T166" s="298">
        <f t="shared" si="43"/>
        <v>0.2857142857142857</v>
      </c>
      <c r="U166" s="201">
        <f t="shared" si="44"/>
        <v>2.1428571428571428</v>
      </c>
      <c r="V166" s="197" t="s">
        <v>736</v>
      </c>
    </row>
    <row r="167" spans="1:48" ht="14.5" x14ac:dyDescent="0.35">
      <c r="A167" s="190" t="s">
        <v>160</v>
      </c>
      <c r="B167" s="191" t="s">
        <v>186</v>
      </c>
      <c r="C167" s="191" t="s">
        <v>14</v>
      </c>
      <c r="D167" s="191" t="s">
        <v>10</v>
      </c>
      <c r="E167" s="93" t="s">
        <v>809</v>
      </c>
      <c r="F167" s="249" t="s">
        <v>621</v>
      </c>
      <c r="G167" s="249" t="s">
        <v>12</v>
      </c>
      <c r="H167" s="265">
        <v>136</v>
      </c>
      <c r="I167" s="265">
        <v>109148</v>
      </c>
      <c r="J167" s="265">
        <f t="shared" si="41"/>
        <v>802.55882352941171</v>
      </c>
      <c r="K167" s="265">
        <v>502</v>
      </c>
      <c r="L167" s="265">
        <v>35</v>
      </c>
      <c r="M167" s="266">
        <f t="shared" si="45"/>
        <v>0.93482309124767227</v>
      </c>
      <c r="N167" s="266">
        <f t="shared" si="46"/>
        <v>6.5176908752327747E-2</v>
      </c>
      <c r="O167" s="265">
        <f t="shared" si="47"/>
        <v>537</v>
      </c>
      <c r="P167" s="297">
        <v>51</v>
      </c>
      <c r="Q167" s="265">
        <f t="shared" si="40"/>
        <v>588</v>
      </c>
      <c r="R167" s="269">
        <v>221</v>
      </c>
      <c r="S167" s="298">
        <f t="shared" si="42"/>
        <v>3.6911764705882355</v>
      </c>
      <c r="T167" s="298">
        <f t="shared" si="43"/>
        <v>0.25735294117647056</v>
      </c>
      <c r="U167" s="201">
        <f t="shared" si="44"/>
        <v>4.3235294117647056</v>
      </c>
      <c r="V167" s="200" t="s">
        <v>736</v>
      </c>
    </row>
    <row r="168" spans="1:48" ht="14.5" x14ac:dyDescent="0.35">
      <c r="A168" s="190" t="s">
        <v>160</v>
      </c>
      <c r="B168" s="191" t="s">
        <v>188</v>
      </c>
      <c r="C168" s="191" t="s">
        <v>4</v>
      </c>
      <c r="D168" s="191" t="s">
        <v>5</v>
      </c>
      <c r="E168" s="93" t="s">
        <v>189</v>
      </c>
      <c r="F168" s="249" t="s">
        <v>573</v>
      </c>
      <c r="G168" s="249" t="s">
        <v>6</v>
      </c>
      <c r="H168" s="265">
        <v>124</v>
      </c>
      <c r="I168" s="265">
        <v>127053</v>
      </c>
      <c r="J168" s="265">
        <f t="shared" si="41"/>
        <v>1024.6209677419354</v>
      </c>
      <c r="K168" s="265">
        <v>374</v>
      </c>
      <c r="L168" s="265">
        <v>274</v>
      </c>
      <c r="M168" s="266">
        <f t="shared" si="45"/>
        <v>0.5771604938271605</v>
      </c>
      <c r="N168" s="266">
        <f t="shared" si="46"/>
        <v>0.4228395061728395</v>
      </c>
      <c r="O168" s="265">
        <f t="shared" si="47"/>
        <v>648</v>
      </c>
      <c r="P168" s="297">
        <v>136</v>
      </c>
      <c r="Q168" s="265">
        <f t="shared" si="40"/>
        <v>784</v>
      </c>
      <c r="R168" s="270">
        <v>116</v>
      </c>
      <c r="S168" s="298">
        <f t="shared" si="42"/>
        <v>3.0161290322580645</v>
      </c>
      <c r="T168" s="298">
        <f t="shared" si="43"/>
        <v>2.2096774193548385</v>
      </c>
      <c r="U168" s="201">
        <f t="shared" si="44"/>
        <v>6.32258064516129</v>
      </c>
      <c r="V168" s="200" t="s">
        <v>736</v>
      </c>
    </row>
    <row r="169" spans="1:48" ht="14.5" x14ac:dyDescent="0.35">
      <c r="A169" s="190" t="s">
        <v>160</v>
      </c>
      <c r="B169" s="191" t="s">
        <v>188</v>
      </c>
      <c r="C169" s="191" t="s">
        <v>9</v>
      </c>
      <c r="D169" s="191" t="s">
        <v>10</v>
      </c>
      <c r="E169" s="94" t="str">
        <f>HYPERLINK("https://youtube.com/ELYSEE","https://youtube.com/ELYSEE")</f>
        <v>https://youtube.com/ELYSEE</v>
      </c>
      <c r="F169" s="249" t="s">
        <v>612</v>
      </c>
      <c r="G169" s="249" t="s">
        <v>12</v>
      </c>
      <c r="H169" s="265">
        <v>595</v>
      </c>
      <c r="I169" s="265">
        <v>512352</v>
      </c>
      <c r="J169" s="265">
        <f t="shared" si="41"/>
        <v>861.09579831932774</v>
      </c>
      <c r="K169" s="265">
        <v>1370</v>
      </c>
      <c r="L169" s="265">
        <v>596</v>
      </c>
      <c r="M169" s="266">
        <f t="shared" si="45"/>
        <v>0.69684638860630721</v>
      </c>
      <c r="N169" s="266">
        <f t="shared" si="46"/>
        <v>0.30315361139369279</v>
      </c>
      <c r="O169" s="265">
        <f t="shared" si="47"/>
        <v>1966</v>
      </c>
      <c r="P169" s="297">
        <v>0</v>
      </c>
      <c r="Q169" s="265">
        <f t="shared" si="40"/>
        <v>1966</v>
      </c>
      <c r="R169" s="269">
        <v>1052</v>
      </c>
      <c r="S169" s="298">
        <f t="shared" si="42"/>
        <v>2.3025210084033612</v>
      </c>
      <c r="T169" s="298">
        <f t="shared" si="43"/>
        <v>1.0016806722689076</v>
      </c>
      <c r="U169" s="201">
        <f t="shared" si="44"/>
        <v>3.3042016806722687</v>
      </c>
      <c r="V169" s="200" t="s">
        <v>736</v>
      </c>
    </row>
    <row r="170" spans="1:48" ht="14.5" x14ac:dyDescent="0.35">
      <c r="A170" s="190" t="s">
        <v>160</v>
      </c>
      <c r="B170" s="191" t="s">
        <v>188</v>
      </c>
      <c r="C170" s="191" t="s">
        <v>7</v>
      </c>
      <c r="D170" s="191" t="s">
        <v>5</v>
      </c>
      <c r="E170" s="93" t="s">
        <v>190</v>
      </c>
      <c r="F170" s="249" t="s">
        <v>496</v>
      </c>
      <c r="G170" s="249" t="s">
        <v>12</v>
      </c>
      <c r="H170" s="265">
        <v>8</v>
      </c>
      <c r="I170" s="265">
        <v>5251</v>
      </c>
      <c r="J170" s="265">
        <f t="shared" si="41"/>
        <v>656.375</v>
      </c>
      <c r="K170" s="265">
        <v>14</v>
      </c>
      <c r="L170" s="265">
        <v>13</v>
      </c>
      <c r="M170" s="266">
        <f t="shared" si="45"/>
        <v>0.51851851851851849</v>
      </c>
      <c r="N170" s="266">
        <f t="shared" si="46"/>
        <v>0.48148148148148145</v>
      </c>
      <c r="O170" s="265">
        <f t="shared" si="47"/>
        <v>27</v>
      </c>
      <c r="P170" s="297">
        <v>23</v>
      </c>
      <c r="Q170" s="265">
        <f t="shared" si="40"/>
        <v>50</v>
      </c>
      <c r="R170" s="269" t="s">
        <v>740</v>
      </c>
      <c r="S170" s="298">
        <f t="shared" si="42"/>
        <v>1.75</v>
      </c>
      <c r="T170" s="298">
        <f t="shared" si="43"/>
        <v>1.625</v>
      </c>
      <c r="U170" s="201">
        <f t="shared" si="44"/>
        <v>6.25</v>
      </c>
      <c r="V170" s="200" t="s">
        <v>736</v>
      </c>
    </row>
    <row r="171" spans="1:48" ht="14.5" x14ac:dyDescent="0.35">
      <c r="A171" s="190" t="s">
        <v>160</v>
      </c>
      <c r="B171" s="191" t="s">
        <v>188</v>
      </c>
      <c r="C171" s="191" t="s">
        <v>13</v>
      </c>
      <c r="D171" s="191" t="s">
        <v>10</v>
      </c>
      <c r="E171" s="93" t="s">
        <v>191</v>
      </c>
      <c r="F171" s="249" t="s">
        <v>497</v>
      </c>
      <c r="G171" s="249" t="s">
        <v>12</v>
      </c>
      <c r="H171" s="265">
        <v>26</v>
      </c>
      <c r="I171" s="265">
        <v>1947814</v>
      </c>
      <c r="J171" s="265">
        <f t="shared" si="41"/>
        <v>74915.923076923078</v>
      </c>
      <c r="K171" s="265">
        <v>315</v>
      </c>
      <c r="L171" s="265">
        <v>66</v>
      </c>
      <c r="M171" s="266">
        <f t="shared" si="45"/>
        <v>0.82677165354330706</v>
      </c>
      <c r="N171" s="266">
        <f t="shared" si="46"/>
        <v>0.17322834645669291</v>
      </c>
      <c r="O171" s="265">
        <f t="shared" si="47"/>
        <v>381</v>
      </c>
      <c r="P171" s="297">
        <v>0</v>
      </c>
      <c r="Q171" s="265">
        <f t="shared" si="40"/>
        <v>381</v>
      </c>
      <c r="R171" s="270">
        <v>569</v>
      </c>
      <c r="S171" s="298">
        <f t="shared" si="42"/>
        <v>12.115384615384615</v>
      </c>
      <c r="T171" s="298">
        <f t="shared" si="43"/>
        <v>2.5384615384615383</v>
      </c>
      <c r="U171" s="201">
        <f t="shared" si="44"/>
        <v>14.653846153846153</v>
      </c>
      <c r="V171" s="200" t="s">
        <v>736</v>
      </c>
    </row>
    <row r="172" spans="1:48" ht="14.5" x14ac:dyDescent="0.35">
      <c r="A172" s="190" t="s">
        <v>160</v>
      </c>
      <c r="B172" s="191" t="s">
        <v>188</v>
      </c>
      <c r="C172" s="191" t="s">
        <v>14</v>
      </c>
      <c r="D172" s="191" t="s">
        <v>10</v>
      </c>
      <c r="E172" s="94" t="str">
        <f>HYPERLINK("https://youtube.com/francediplotv","https://youtube.com/francediplotv")</f>
        <v>https://youtube.com/francediplotv</v>
      </c>
      <c r="F172" s="249" t="s">
        <v>623</v>
      </c>
      <c r="G172" s="249" t="s">
        <v>12</v>
      </c>
      <c r="H172" s="265">
        <v>1222</v>
      </c>
      <c r="I172" s="265">
        <v>1116262</v>
      </c>
      <c r="J172" s="265">
        <f t="shared" si="41"/>
        <v>913.47135842880527</v>
      </c>
      <c r="K172" s="265">
        <v>3170</v>
      </c>
      <c r="L172" s="265">
        <v>584</v>
      </c>
      <c r="M172" s="266">
        <f t="shared" si="45"/>
        <v>0.84443260522109753</v>
      </c>
      <c r="N172" s="266">
        <f t="shared" si="46"/>
        <v>0.1555673947789025</v>
      </c>
      <c r="O172" s="265">
        <f t="shared" si="47"/>
        <v>3754</v>
      </c>
      <c r="P172" s="297">
        <v>1008</v>
      </c>
      <c r="Q172" s="265">
        <f t="shared" si="40"/>
        <v>4762</v>
      </c>
      <c r="R172" s="269">
        <v>4280</v>
      </c>
      <c r="S172" s="298">
        <f t="shared" si="42"/>
        <v>2.5941080196399344</v>
      </c>
      <c r="T172" s="298">
        <f t="shared" si="43"/>
        <v>0.47790507364975449</v>
      </c>
      <c r="U172" s="201">
        <f t="shared" si="44"/>
        <v>3.8968903436988542</v>
      </c>
      <c r="V172" s="200" t="s">
        <v>736</v>
      </c>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row>
    <row r="173" spans="1:48" ht="14.5" x14ac:dyDescent="0.35">
      <c r="A173" s="190" t="s">
        <v>160</v>
      </c>
      <c r="B173" s="191" t="s">
        <v>192</v>
      </c>
      <c r="C173" s="191" t="s">
        <v>13</v>
      </c>
      <c r="D173" s="191" t="s">
        <v>10</v>
      </c>
      <c r="E173" s="94" t="str">
        <f>HYPERLINK("https://youtube.com/bundesregierung","https://youtube.com/bundesregierung")</f>
        <v>https://youtube.com/bundesregierung</v>
      </c>
      <c r="F173" s="249" t="s">
        <v>193</v>
      </c>
      <c r="G173" s="249" t="s">
        <v>12</v>
      </c>
      <c r="H173" s="265">
        <v>566</v>
      </c>
      <c r="I173" s="265">
        <v>3016012</v>
      </c>
      <c r="J173" s="265">
        <f t="shared" si="41"/>
        <v>5328.643109540636</v>
      </c>
      <c r="K173" s="265">
        <v>19277</v>
      </c>
      <c r="L173" s="265">
        <v>20407</v>
      </c>
      <c r="M173" s="266">
        <f t="shared" si="45"/>
        <v>0.48576252393911906</v>
      </c>
      <c r="N173" s="266">
        <f t="shared" si="46"/>
        <v>0.51423747606088099</v>
      </c>
      <c r="O173" s="265">
        <f t="shared" si="47"/>
        <v>39684</v>
      </c>
      <c r="P173" s="297">
        <v>14109</v>
      </c>
      <c r="Q173" s="265">
        <f t="shared" si="40"/>
        <v>53793</v>
      </c>
      <c r="R173" s="269">
        <v>14785</v>
      </c>
      <c r="S173" s="298">
        <f t="shared" si="42"/>
        <v>34.058303886925792</v>
      </c>
      <c r="T173" s="298">
        <f t="shared" si="43"/>
        <v>36.054770318021198</v>
      </c>
      <c r="U173" s="201">
        <f t="shared" si="44"/>
        <v>95.040636042402824</v>
      </c>
      <c r="V173" s="200" t="s">
        <v>736</v>
      </c>
    </row>
    <row r="174" spans="1:48" ht="14.5" x14ac:dyDescent="0.35">
      <c r="A174" s="196" t="s">
        <v>160</v>
      </c>
      <c r="B174" s="197" t="s">
        <v>192</v>
      </c>
      <c r="C174" s="197" t="s">
        <v>29</v>
      </c>
      <c r="D174" s="197" t="s">
        <v>5</v>
      </c>
      <c r="E174" s="93" t="s">
        <v>628</v>
      </c>
      <c r="F174" s="249" t="s">
        <v>498</v>
      </c>
      <c r="G174" s="249" t="s">
        <v>738</v>
      </c>
      <c r="H174" s="300">
        <v>0</v>
      </c>
      <c r="I174" s="300">
        <v>0</v>
      </c>
      <c r="J174" s="265">
        <v>0</v>
      </c>
      <c r="K174" s="300">
        <v>0</v>
      </c>
      <c r="L174" s="300">
        <v>0</v>
      </c>
      <c r="M174" s="265">
        <v>0</v>
      </c>
      <c r="N174" s="265">
        <v>0</v>
      </c>
      <c r="O174" s="265">
        <v>0</v>
      </c>
      <c r="P174" s="301">
        <v>0</v>
      </c>
      <c r="Q174" s="265">
        <f t="shared" si="40"/>
        <v>0</v>
      </c>
      <c r="R174" s="270">
        <v>17</v>
      </c>
      <c r="S174" s="300">
        <v>0</v>
      </c>
      <c r="T174" s="300">
        <v>0</v>
      </c>
      <c r="U174" s="300">
        <v>0</v>
      </c>
      <c r="V174" s="200" t="s">
        <v>735</v>
      </c>
    </row>
    <row r="175" spans="1:48" ht="14.5" x14ac:dyDescent="0.35">
      <c r="A175" s="190" t="s">
        <v>160</v>
      </c>
      <c r="B175" s="191" t="s">
        <v>192</v>
      </c>
      <c r="C175" s="191" t="s">
        <v>14</v>
      </c>
      <c r="D175" s="191" t="s">
        <v>10</v>
      </c>
      <c r="E175" s="94" t="str">
        <f>HYPERLINK("https://youtube.com/AuswaertigesAmtDE","https://youtube.com/AuswaertigesAmtDE")</f>
        <v>https://youtube.com/AuswaertigesAmtDE</v>
      </c>
      <c r="F175" s="249" t="s">
        <v>421</v>
      </c>
      <c r="G175" s="249" t="s">
        <v>12</v>
      </c>
      <c r="H175" s="265">
        <v>314</v>
      </c>
      <c r="I175" s="265">
        <v>336401</v>
      </c>
      <c r="J175" s="265">
        <f t="shared" ref="J175:J201" si="48">SUM(I175/H175)</f>
        <v>1071.3407643312103</v>
      </c>
      <c r="K175" s="265">
        <v>1135</v>
      </c>
      <c r="L175" s="265">
        <v>109</v>
      </c>
      <c r="M175" s="266">
        <f t="shared" ref="M175:M201" si="49">SUM(K175)/O175</f>
        <v>0.91237942122186499</v>
      </c>
      <c r="N175" s="266">
        <f t="shared" ref="N175:N201" si="50">SUM(L175)/O175</f>
        <v>8.7620578778135047E-2</v>
      </c>
      <c r="O175" s="265">
        <f t="shared" ref="O175:O201" si="51">SUM(K175:L175)</f>
        <v>1244</v>
      </c>
      <c r="P175" s="297">
        <v>0</v>
      </c>
      <c r="Q175" s="265">
        <f t="shared" si="40"/>
        <v>1244</v>
      </c>
      <c r="R175" s="269">
        <v>2285</v>
      </c>
      <c r="S175" s="298">
        <f t="shared" ref="S175:S201" si="52">SUM(K175)/H175</f>
        <v>3.6146496815286624</v>
      </c>
      <c r="T175" s="298">
        <f t="shared" ref="T175:T201" si="53">SUM(L175)/H175</f>
        <v>0.34713375796178342</v>
      </c>
      <c r="U175" s="201">
        <f t="shared" ref="U175:U201" si="54">SUM(Q175)/(H175)</f>
        <v>3.9617834394904459</v>
      </c>
      <c r="V175" s="200" t="s">
        <v>736</v>
      </c>
    </row>
    <row r="176" spans="1:48" ht="14.5" x14ac:dyDescent="0.35">
      <c r="A176" s="196" t="s">
        <v>160</v>
      </c>
      <c r="B176" s="258" t="s">
        <v>192</v>
      </c>
      <c r="C176" s="260" t="s">
        <v>14</v>
      </c>
      <c r="D176" s="260" t="s">
        <v>10</v>
      </c>
      <c r="E176" s="93" t="s">
        <v>772</v>
      </c>
      <c r="F176" s="249" t="s">
        <v>427</v>
      </c>
      <c r="G176" s="249" t="s">
        <v>12</v>
      </c>
      <c r="H176" s="265">
        <v>91</v>
      </c>
      <c r="I176" s="265">
        <v>123202</v>
      </c>
      <c r="J176" s="265">
        <f t="shared" si="48"/>
        <v>1353.868131868132</v>
      </c>
      <c r="K176" s="265">
        <v>351</v>
      </c>
      <c r="L176" s="265">
        <v>23</v>
      </c>
      <c r="M176" s="266">
        <f t="shared" si="49"/>
        <v>0.93850267379679142</v>
      </c>
      <c r="N176" s="266">
        <f t="shared" si="50"/>
        <v>6.1497326203208559E-2</v>
      </c>
      <c r="O176" s="265">
        <f t="shared" si="51"/>
        <v>374</v>
      </c>
      <c r="P176" s="297">
        <v>10</v>
      </c>
      <c r="Q176" s="265">
        <f t="shared" si="40"/>
        <v>384</v>
      </c>
      <c r="R176" s="270">
        <v>997</v>
      </c>
      <c r="S176" s="298">
        <f t="shared" si="52"/>
        <v>3.8571428571428572</v>
      </c>
      <c r="T176" s="298">
        <f t="shared" si="53"/>
        <v>0.25274725274725274</v>
      </c>
      <c r="U176" s="201">
        <f t="shared" si="54"/>
        <v>4.2197802197802199</v>
      </c>
      <c r="V176" s="200" t="s">
        <v>736</v>
      </c>
    </row>
    <row r="177" spans="1:49" ht="14.5" x14ac:dyDescent="0.35">
      <c r="A177" s="190" t="s">
        <v>160</v>
      </c>
      <c r="B177" s="191" t="s">
        <v>192</v>
      </c>
      <c r="C177" s="191" t="s">
        <v>14</v>
      </c>
      <c r="D177" s="191" t="s">
        <v>10</v>
      </c>
      <c r="E177" s="93" t="s">
        <v>811</v>
      </c>
      <c r="F177" s="249" t="s">
        <v>424</v>
      </c>
      <c r="G177" s="249" t="s">
        <v>12</v>
      </c>
      <c r="H177" s="265">
        <v>248</v>
      </c>
      <c r="I177" s="265">
        <v>40762</v>
      </c>
      <c r="J177" s="265">
        <f t="shared" si="48"/>
        <v>164.36290322580646</v>
      </c>
      <c r="K177" s="265">
        <v>147</v>
      </c>
      <c r="L177" s="265">
        <v>16</v>
      </c>
      <c r="M177" s="266">
        <f t="shared" si="49"/>
        <v>0.90184049079754602</v>
      </c>
      <c r="N177" s="266">
        <f t="shared" si="50"/>
        <v>9.815950920245399E-2</v>
      </c>
      <c r="O177" s="265">
        <f t="shared" si="51"/>
        <v>163</v>
      </c>
      <c r="P177" s="297">
        <v>10</v>
      </c>
      <c r="Q177" s="265">
        <f t="shared" si="40"/>
        <v>173</v>
      </c>
      <c r="R177" s="269">
        <v>849</v>
      </c>
      <c r="S177" s="298">
        <f t="shared" si="52"/>
        <v>0.592741935483871</v>
      </c>
      <c r="T177" s="298">
        <f t="shared" si="53"/>
        <v>6.4516129032258063E-2</v>
      </c>
      <c r="U177" s="201">
        <f t="shared" si="54"/>
        <v>0.69758064516129037</v>
      </c>
      <c r="V177" s="200" t="s">
        <v>736</v>
      </c>
    </row>
    <row r="178" spans="1:49" ht="14.5" x14ac:dyDescent="0.35">
      <c r="A178" s="196" t="s">
        <v>160</v>
      </c>
      <c r="B178" s="258" t="s">
        <v>192</v>
      </c>
      <c r="C178" s="260" t="s">
        <v>14</v>
      </c>
      <c r="D178" s="260" t="s">
        <v>10</v>
      </c>
      <c r="E178" s="93" t="s">
        <v>768</v>
      </c>
      <c r="F178" s="249" t="s">
        <v>418</v>
      </c>
      <c r="G178" s="249" t="s">
        <v>12</v>
      </c>
      <c r="H178" s="265">
        <v>100</v>
      </c>
      <c r="I178" s="265">
        <v>37671</v>
      </c>
      <c r="J178" s="265">
        <f t="shared" si="48"/>
        <v>376.71</v>
      </c>
      <c r="K178" s="265">
        <v>286</v>
      </c>
      <c r="L178" s="265">
        <v>10</v>
      </c>
      <c r="M178" s="266">
        <f t="shared" si="49"/>
        <v>0.96621621621621623</v>
      </c>
      <c r="N178" s="266">
        <f t="shared" si="50"/>
        <v>3.3783783783783786E-2</v>
      </c>
      <c r="O178" s="265">
        <f t="shared" si="51"/>
        <v>296</v>
      </c>
      <c r="P178" s="297">
        <v>0</v>
      </c>
      <c r="Q178" s="265">
        <f t="shared" si="40"/>
        <v>296</v>
      </c>
      <c r="R178" s="270">
        <v>628</v>
      </c>
      <c r="S178" s="298">
        <f t="shared" si="52"/>
        <v>2.86</v>
      </c>
      <c r="T178" s="298">
        <f t="shared" si="53"/>
        <v>0.1</v>
      </c>
      <c r="U178" s="201">
        <f t="shared" si="54"/>
        <v>2.96</v>
      </c>
      <c r="V178" s="200" t="s">
        <v>736</v>
      </c>
    </row>
    <row r="179" spans="1:49" ht="14.5" x14ac:dyDescent="0.35">
      <c r="A179" s="196" t="s">
        <v>160</v>
      </c>
      <c r="B179" s="258" t="s">
        <v>192</v>
      </c>
      <c r="C179" s="260" t="s">
        <v>14</v>
      </c>
      <c r="D179" s="260" t="s">
        <v>10</v>
      </c>
      <c r="E179" s="93" t="s">
        <v>771</v>
      </c>
      <c r="F179" s="249" t="s">
        <v>420</v>
      </c>
      <c r="G179" s="249" t="s">
        <v>12</v>
      </c>
      <c r="H179" s="265">
        <v>108</v>
      </c>
      <c r="I179" s="265">
        <v>28993</v>
      </c>
      <c r="J179" s="265">
        <f t="shared" si="48"/>
        <v>268.4537037037037</v>
      </c>
      <c r="K179" s="265">
        <v>75</v>
      </c>
      <c r="L179" s="265">
        <v>8</v>
      </c>
      <c r="M179" s="266">
        <f t="shared" si="49"/>
        <v>0.90361445783132532</v>
      </c>
      <c r="N179" s="266">
        <f t="shared" si="50"/>
        <v>9.6385542168674704E-2</v>
      </c>
      <c r="O179" s="265">
        <f t="shared" si="51"/>
        <v>83</v>
      </c>
      <c r="P179" s="297">
        <v>8</v>
      </c>
      <c r="Q179" s="265">
        <f t="shared" si="40"/>
        <v>91</v>
      </c>
      <c r="R179" s="270">
        <v>258</v>
      </c>
      <c r="S179" s="298">
        <f t="shared" si="52"/>
        <v>0.69444444444444442</v>
      </c>
      <c r="T179" s="298">
        <f t="shared" si="53"/>
        <v>7.407407407407407E-2</v>
      </c>
      <c r="U179" s="201">
        <f t="shared" si="54"/>
        <v>0.84259259259259256</v>
      </c>
      <c r="V179" s="200" t="s">
        <v>736</v>
      </c>
    </row>
    <row r="180" spans="1:49" ht="14.5" x14ac:dyDescent="0.35">
      <c r="A180" s="196" t="s">
        <v>160</v>
      </c>
      <c r="B180" s="258" t="s">
        <v>192</v>
      </c>
      <c r="C180" s="260" t="s">
        <v>14</v>
      </c>
      <c r="D180" s="260" t="s">
        <v>10</v>
      </c>
      <c r="E180" s="93" t="s">
        <v>810</v>
      </c>
      <c r="F180" s="249" t="s">
        <v>426</v>
      </c>
      <c r="G180" s="249" t="s">
        <v>12</v>
      </c>
      <c r="H180" s="265">
        <v>97</v>
      </c>
      <c r="I180" s="265">
        <v>16457</v>
      </c>
      <c r="J180" s="265">
        <f t="shared" si="48"/>
        <v>169.65979381443299</v>
      </c>
      <c r="K180" s="265">
        <v>78</v>
      </c>
      <c r="L180" s="265">
        <v>1</v>
      </c>
      <c r="M180" s="266">
        <f t="shared" si="49"/>
        <v>0.98734177215189878</v>
      </c>
      <c r="N180" s="266">
        <f t="shared" si="50"/>
        <v>1.2658227848101266E-2</v>
      </c>
      <c r="O180" s="265">
        <f t="shared" si="51"/>
        <v>79</v>
      </c>
      <c r="P180" s="297">
        <v>3</v>
      </c>
      <c r="Q180" s="265">
        <f t="shared" si="40"/>
        <v>82</v>
      </c>
      <c r="R180" s="270">
        <v>168</v>
      </c>
      <c r="S180" s="298">
        <f t="shared" si="52"/>
        <v>0.80412371134020622</v>
      </c>
      <c r="T180" s="298">
        <f t="shared" si="53"/>
        <v>1.0309278350515464E-2</v>
      </c>
      <c r="U180" s="201">
        <f t="shared" si="54"/>
        <v>0.84536082474226804</v>
      </c>
      <c r="V180" s="200" t="s">
        <v>736</v>
      </c>
    </row>
    <row r="181" spans="1:49" ht="14.5" x14ac:dyDescent="0.35">
      <c r="A181" s="196" t="s">
        <v>160</v>
      </c>
      <c r="B181" s="258" t="s">
        <v>192</v>
      </c>
      <c r="C181" s="260" t="s">
        <v>14</v>
      </c>
      <c r="D181" s="260" t="s">
        <v>10</v>
      </c>
      <c r="E181" s="93" t="s">
        <v>802</v>
      </c>
      <c r="F181" s="249" t="s">
        <v>422</v>
      </c>
      <c r="G181" s="249" t="s">
        <v>12</v>
      </c>
      <c r="H181" s="265">
        <v>35</v>
      </c>
      <c r="I181" s="265">
        <v>4918</v>
      </c>
      <c r="J181" s="265">
        <f t="shared" si="48"/>
        <v>140.51428571428571</v>
      </c>
      <c r="K181" s="265">
        <v>7</v>
      </c>
      <c r="L181" s="265">
        <v>0</v>
      </c>
      <c r="M181" s="266">
        <f t="shared" si="49"/>
        <v>1</v>
      </c>
      <c r="N181" s="266">
        <f t="shared" si="50"/>
        <v>0</v>
      </c>
      <c r="O181" s="265">
        <f t="shared" si="51"/>
        <v>7</v>
      </c>
      <c r="P181" s="297">
        <v>0</v>
      </c>
      <c r="Q181" s="265">
        <f t="shared" si="40"/>
        <v>7</v>
      </c>
      <c r="R181" s="270">
        <v>99</v>
      </c>
      <c r="S181" s="298">
        <f t="shared" si="52"/>
        <v>0.2</v>
      </c>
      <c r="T181" s="298">
        <f t="shared" si="53"/>
        <v>0</v>
      </c>
      <c r="U181" s="201">
        <f t="shared" si="54"/>
        <v>0.2</v>
      </c>
      <c r="V181" s="200" t="s">
        <v>736</v>
      </c>
    </row>
    <row r="182" spans="1:49" ht="14.5" x14ac:dyDescent="0.35">
      <c r="A182" s="190" t="s">
        <v>160</v>
      </c>
      <c r="B182" s="191" t="s">
        <v>194</v>
      </c>
      <c r="C182" s="191" t="s">
        <v>13</v>
      </c>
      <c r="D182" s="191" t="s">
        <v>10</v>
      </c>
      <c r="E182" s="94" t="str">
        <f>HYPERLINK("https://youtube.com/PrimeMinisterGR","https://youtube.com/PrimeMinisterGR")</f>
        <v>https://youtube.com/PrimeMinisterGR</v>
      </c>
      <c r="F182" s="249" t="s">
        <v>334</v>
      </c>
      <c r="G182" s="249" t="s">
        <v>12</v>
      </c>
      <c r="H182" s="265">
        <v>877</v>
      </c>
      <c r="I182" s="265">
        <v>1312783</v>
      </c>
      <c r="J182" s="265">
        <f t="shared" si="48"/>
        <v>1496.9019384264539</v>
      </c>
      <c r="K182" s="265">
        <v>1848</v>
      </c>
      <c r="L182" s="265">
        <v>3928</v>
      </c>
      <c r="M182" s="266">
        <f t="shared" si="49"/>
        <v>0.31994459833795014</v>
      </c>
      <c r="N182" s="266">
        <f t="shared" si="50"/>
        <v>0.68005540166204981</v>
      </c>
      <c r="O182" s="265">
        <f t="shared" si="51"/>
        <v>5776</v>
      </c>
      <c r="P182" s="297">
        <v>1120</v>
      </c>
      <c r="Q182" s="265">
        <f t="shared" si="40"/>
        <v>6896</v>
      </c>
      <c r="R182" s="269">
        <v>3329</v>
      </c>
      <c r="S182" s="298">
        <f t="shared" si="52"/>
        <v>2.1071835803876855</v>
      </c>
      <c r="T182" s="298">
        <f t="shared" si="53"/>
        <v>4.4789053591790191</v>
      </c>
      <c r="U182" s="201">
        <f t="shared" si="54"/>
        <v>7.8631698973774231</v>
      </c>
      <c r="V182" s="197" t="s">
        <v>736</v>
      </c>
    </row>
    <row r="183" spans="1:49" ht="14.5" x14ac:dyDescent="0.35">
      <c r="A183" s="190" t="s">
        <v>160</v>
      </c>
      <c r="B183" s="191" t="s">
        <v>194</v>
      </c>
      <c r="C183" s="191" t="s">
        <v>14</v>
      </c>
      <c r="D183" s="191" t="s">
        <v>10</v>
      </c>
      <c r="E183" s="94" t="str">
        <f>HYPERLINK("https://youtube.com/GreeceMFA","https://youtube.com/GreeceMFA")</f>
        <v>https://youtube.com/GreeceMFA</v>
      </c>
      <c r="F183" s="249" t="s">
        <v>396</v>
      </c>
      <c r="G183" s="249" t="s">
        <v>12</v>
      </c>
      <c r="H183" s="265">
        <v>634</v>
      </c>
      <c r="I183" s="265">
        <v>121999</v>
      </c>
      <c r="J183" s="265">
        <f t="shared" si="48"/>
        <v>192.42744479495269</v>
      </c>
      <c r="K183" s="265">
        <v>285</v>
      </c>
      <c r="L183" s="265">
        <v>163</v>
      </c>
      <c r="M183" s="266">
        <f t="shared" si="49"/>
        <v>0.6361607142857143</v>
      </c>
      <c r="N183" s="266">
        <f t="shared" si="50"/>
        <v>0.3638392857142857</v>
      </c>
      <c r="O183" s="265">
        <f t="shared" si="51"/>
        <v>448</v>
      </c>
      <c r="P183" s="297">
        <v>102</v>
      </c>
      <c r="Q183" s="265">
        <f t="shared" si="40"/>
        <v>550</v>
      </c>
      <c r="R183" s="269">
        <v>329</v>
      </c>
      <c r="S183" s="298">
        <f t="shared" si="52"/>
        <v>0.44952681388012616</v>
      </c>
      <c r="T183" s="298">
        <f t="shared" si="53"/>
        <v>0.25709779179810727</v>
      </c>
      <c r="U183" s="201">
        <f t="shared" si="54"/>
        <v>0.86750788643533128</v>
      </c>
      <c r="V183" s="200" t="s">
        <v>736</v>
      </c>
    </row>
    <row r="184" spans="1:49" ht="14.5" x14ac:dyDescent="0.35">
      <c r="A184" s="190" t="s">
        <v>160</v>
      </c>
      <c r="B184" s="191" t="s">
        <v>195</v>
      </c>
      <c r="C184" s="191" t="s">
        <v>13</v>
      </c>
      <c r="D184" s="191" t="s">
        <v>10</v>
      </c>
      <c r="E184" s="94" t="str">
        <f>HYPERLINK("https://youtube.com/kormanyhu","https://youtube.com/kormanyhu")</f>
        <v>https://youtube.com/kormanyhu</v>
      </c>
      <c r="F184" s="249" t="s">
        <v>499</v>
      </c>
      <c r="G184" s="249" t="s">
        <v>12</v>
      </c>
      <c r="H184" s="265">
        <v>5024</v>
      </c>
      <c r="I184" s="265">
        <v>2777273</v>
      </c>
      <c r="J184" s="265">
        <f t="shared" si="48"/>
        <v>552.80115445859872</v>
      </c>
      <c r="K184" s="265">
        <v>11419</v>
      </c>
      <c r="L184" s="265">
        <v>7088</v>
      </c>
      <c r="M184" s="266">
        <f t="shared" si="49"/>
        <v>0.61700978008321172</v>
      </c>
      <c r="N184" s="266">
        <f t="shared" si="50"/>
        <v>0.38299021991678822</v>
      </c>
      <c r="O184" s="265">
        <f t="shared" si="51"/>
        <v>18507</v>
      </c>
      <c r="P184" s="297">
        <v>3284</v>
      </c>
      <c r="Q184" s="265">
        <f t="shared" si="40"/>
        <v>21791</v>
      </c>
      <c r="R184" s="269">
        <v>3100</v>
      </c>
      <c r="S184" s="298">
        <f t="shared" si="52"/>
        <v>2.2728901273885351</v>
      </c>
      <c r="T184" s="298">
        <f t="shared" si="53"/>
        <v>1.410828025477707</v>
      </c>
      <c r="U184" s="201">
        <f t="shared" si="54"/>
        <v>4.3373805732484074</v>
      </c>
      <c r="V184" s="200" t="s">
        <v>736</v>
      </c>
    </row>
    <row r="185" spans="1:49" ht="14.5" x14ac:dyDescent="0.35">
      <c r="A185" s="255" t="s">
        <v>160</v>
      </c>
      <c r="B185" s="256" t="s">
        <v>196</v>
      </c>
      <c r="C185" s="256" t="s">
        <v>14</v>
      </c>
      <c r="D185" s="256" t="s">
        <v>10</v>
      </c>
      <c r="E185" s="95" t="s">
        <v>454</v>
      </c>
      <c r="F185" s="249" t="s">
        <v>558</v>
      </c>
      <c r="G185" s="249" t="s">
        <v>6</v>
      </c>
      <c r="H185" s="265">
        <v>47</v>
      </c>
      <c r="I185" s="265">
        <v>7263</v>
      </c>
      <c r="J185" s="265">
        <f t="shared" si="48"/>
        <v>154.53191489361703</v>
      </c>
      <c r="K185" s="265">
        <v>31</v>
      </c>
      <c r="L185" s="265">
        <v>4</v>
      </c>
      <c r="M185" s="266">
        <f t="shared" si="49"/>
        <v>0.88571428571428568</v>
      </c>
      <c r="N185" s="266">
        <f t="shared" si="50"/>
        <v>0.11428571428571428</v>
      </c>
      <c r="O185" s="265">
        <f t="shared" si="51"/>
        <v>35</v>
      </c>
      <c r="P185" s="297">
        <v>7</v>
      </c>
      <c r="Q185" s="265">
        <f t="shared" si="40"/>
        <v>42</v>
      </c>
      <c r="R185" s="271">
        <v>19</v>
      </c>
      <c r="S185" s="298">
        <f t="shared" si="52"/>
        <v>0.65957446808510634</v>
      </c>
      <c r="T185" s="298">
        <f t="shared" si="53"/>
        <v>8.5106382978723402E-2</v>
      </c>
      <c r="U185" s="201">
        <f t="shared" si="54"/>
        <v>0.8936170212765957</v>
      </c>
      <c r="V185" s="197" t="s">
        <v>736</v>
      </c>
      <c r="AW185" s="32"/>
    </row>
    <row r="186" spans="1:49" ht="14.5" x14ac:dyDescent="0.35">
      <c r="A186" s="196" t="s">
        <v>160</v>
      </c>
      <c r="B186" s="197" t="s">
        <v>197</v>
      </c>
      <c r="C186" s="197" t="s">
        <v>4</v>
      </c>
      <c r="D186" s="197" t="s">
        <v>5</v>
      </c>
      <c r="E186" s="98" t="s">
        <v>455</v>
      </c>
      <c r="F186" s="249" t="s">
        <v>608</v>
      </c>
      <c r="G186" s="249" t="s">
        <v>12</v>
      </c>
      <c r="H186" s="265">
        <v>70</v>
      </c>
      <c r="I186" s="265">
        <v>47206</v>
      </c>
      <c r="J186" s="265">
        <f t="shared" si="48"/>
        <v>674.37142857142862</v>
      </c>
      <c r="K186" s="265">
        <v>31</v>
      </c>
      <c r="L186" s="265">
        <v>3</v>
      </c>
      <c r="M186" s="266">
        <f t="shared" si="49"/>
        <v>0.91176470588235292</v>
      </c>
      <c r="N186" s="266">
        <f t="shared" si="50"/>
        <v>8.8235294117647065E-2</v>
      </c>
      <c r="O186" s="265">
        <f t="shared" si="51"/>
        <v>34</v>
      </c>
      <c r="P186" s="297">
        <v>0</v>
      </c>
      <c r="Q186" s="265">
        <f t="shared" si="40"/>
        <v>34</v>
      </c>
      <c r="R186" s="271">
        <v>267</v>
      </c>
      <c r="S186" s="298">
        <f t="shared" si="52"/>
        <v>0.44285714285714284</v>
      </c>
      <c r="T186" s="298">
        <f t="shared" si="53"/>
        <v>4.2857142857142858E-2</v>
      </c>
      <c r="U186" s="201">
        <f t="shared" si="54"/>
        <v>0.48571428571428571</v>
      </c>
      <c r="V186" s="200" t="s">
        <v>736</v>
      </c>
    </row>
    <row r="187" spans="1:49" ht="14.5" x14ac:dyDescent="0.35">
      <c r="A187" s="190" t="s">
        <v>160</v>
      </c>
      <c r="B187" s="191" t="s">
        <v>197</v>
      </c>
      <c r="C187" s="191" t="s">
        <v>13</v>
      </c>
      <c r="D187" s="191" t="s">
        <v>10</v>
      </c>
      <c r="E187" s="94" t="str">
        <f>HYPERLINK("https://youtube.com/merrionstreet","https://youtube.com/merrionstreet")</f>
        <v>https://youtube.com/merrionstreet</v>
      </c>
      <c r="F187" s="249" t="s">
        <v>378</v>
      </c>
      <c r="G187" s="249" t="s">
        <v>12</v>
      </c>
      <c r="H187" s="265">
        <v>1972</v>
      </c>
      <c r="I187" s="265">
        <v>359378</v>
      </c>
      <c r="J187" s="265">
        <f t="shared" si="48"/>
        <v>182.24036511156186</v>
      </c>
      <c r="K187" s="265">
        <v>1265</v>
      </c>
      <c r="L187" s="265">
        <v>1230</v>
      </c>
      <c r="M187" s="266">
        <f t="shared" si="49"/>
        <v>0.50701402805611218</v>
      </c>
      <c r="N187" s="266">
        <f t="shared" si="50"/>
        <v>0.49298597194388777</v>
      </c>
      <c r="O187" s="265">
        <f t="shared" si="51"/>
        <v>2495</v>
      </c>
      <c r="P187" s="297">
        <v>42</v>
      </c>
      <c r="Q187" s="265">
        <f t="shared" si="40"/>
        <v>2537</v>
      </c>
      <c r="R187" s="269">
        <v>613</v>
      </c>
      <c r="S187" s="298">
        <f t="shared" si="52"/>
        <v>0.64148073022312369</v>
      </c>
      <c r="T187" s="298">
        <f t="shared" si="53"/>
        <v>0.62373225152129819</v>
      </c>
      <c r="U187" s="201">
        <f t="shared" si="54"/>
        <v>1.2865111561866125</v>
      </c>
      <c r="V187" s="200" t="s">
        <v>736</v>
      </c>
    </row>
    <row r="188" spans="1:49" ht="14.5" x14ac:dyDescent="0.35">
      <c r="A188" s="190" t="s">
        <v>160</v>
      </c>
      <c r="B188" s="191" t="s">
        <v>198</v>
      </c>
      <c r="C188" s="191" t="s">
        <v>9</v>
      </c>
      <c r="D188" s="191" t="s">
        <v>10</v>
      </c>
      <c r="E188" s="94" t="str">
        <f>HYPERLINK("https://youtube.com/presidenzarepubblica","https://youtube.com/presidenzarepubblica")</f>
        <v>https://youtube.com/presidenzarepubblica</v>
      </c>
      <c r="F188" s="249" t="s">
        <v>340</v>
      </c>
      <c r="G188" s="249" t="s">
        <v>12</v>
      </c>
      <c r="H188" s="265">
        <v>961</v>
      </c>
      <c r="I188" s="265">
        <v>1424018</v>
      </c>
      <c r="J188" s="265">
        <f t="shared" si="48"/>
        <v>1481.8085327783558</v>
      </c>
      <c r="K188" s="265">
        <v>3669</v>
      </c>
      <c r="L188" s="265">
        <v>3662</v>
      </c>
      <c r="M188" s="266">
        <f t="shared" si="49"/>
        <v>0.50047742463511113</v>
      </c>
      <c r="N188" s="266">
        <f t="shared" si="50"/>
        <v>0.49952257536488881</v>
      </c>
      <c r="O188" s="265">
        <f t="shared" si="51"/>
        <v>7331</v>
      </c>
      <c r="P188" s="297">
        <v>3</v>
      </c>
      <c r="Q188" s="265">
        <f t="shared" si="40"/>
        <v>7334</v>
      </c>
      <c r="R188" s="269">
        <v>6263</v>
      </c>
      <c r="S188" s="298">
        <f t="shared" si="52"/>
        <v>3.8178980228928201</v>
      </c>
      <c r="T188" s="298">
        <f t="shared" si="53"/>
        <v>3.8106139438085327</v>
      </c>
      <c r="U188" s="201">
        <f t="shared" si="54"/>
        <v>7.6316337148803326</v>
      </c>
      <c r="V188" s="197" t="s">
        <v>736</v>
      </c>
    </row>
    <row r="189" spans="1:49" ht="14.5" x14ac:dyDescent="0.35">
      <c r="A189" s="198" t="s">
        <v>160</v>
      </c>
      <c r="B189" s="193" t="s">
        <v>198</v>
      </c>
      <c r="C189" s="193" t="s">
        <v>7</v>
      </c>
      <c r="D189" s="191" t="s">
        <v>5</v>
      </c>
      <c r="E189" s="93" t="s">
        <v>200</v>
      </c>
      <c r="F189" s="249" t="s">
        <v>199</v>
      </c>
      <c r="G189" s="249" t="s">
        <v>12</v>
      </c>
      <c r="H189" s="265">
        <v>974</v>
      </c>
      <c r="I189" s="265">
        <v>2042349</v>
      </c>
      <c r="J189" s="265">
        <f t="shared" si="48"/>
        <v>2096.8675564681726</v>
      </c>
      <c r="K189" s="265">
        <v>8932</v>
      </c>
      <c r="L189" s="265">
        <v>2991</v>
      </c>
      <c r="M189" s="266">
        <f t="shared" si="49"/>
        <v>0.74914031703430339</v>
      </c>
      <c r="N189" s="266">
        <f t="shared" si="50"/>
        <v>0.25085968296569655</v>
      </c>
      <c r="O189" s="265">
        <f t="shared" si="51"/>
        <v>11923</v>
      </c>
      <c r="P189" s="297">
        <v>4306</v>
      </c>
      <c r="Q189" s="265">
        <f t="shared" si="40"/>
        <v>16229</v>
      </c>
      <c r="R189" s="270">
        <v>6989</v>
      </c>
      <c r="S189" s="298">
        <f t="shared" si="52"/>
        <v>9.1704312114989737</v>
      </c>
      <c r="T189" s="298">
        <f t="shared" si="53"/>
        <v>3.0708418891170433</v>
      </c>
      <c r="U189" s="201">
        <f t="shared" si="54"/>
        <v>16.662217659137578</v>
      </c>
      <c r="V189" s="200" t="s">
        <v>736</v>
      </c>
    </row>
    <row r="190" spans="1:49" ht="14.5" x14ac:dyDescent="0.35">
      <c r="A190" s="190" t="s">
        <v>160</v>
      </c>
      <c r="B190" s="191" t="s">
        <v>198</v>
      </c>
      <c r="C190" s="191" t="s">
        <v>13</v>
      </c>
      <c r="D190" s="191" t="s">
        <v>10</v>
      </c>
      <c r="E190" s="94" t="str">
        <f>HYPERLINK("https://youtube.com/palazzochigi","https://youtube.com/palazzochigi")</f>
        <v>https://youtube.com/palazzochigi</v>
      </c>
      <c r="F190" s="249" t="s">
        <v>371</v>
      </c>
      <c r="G190" s="249" t="s">
        <v>12</v>
      </c>
      <c r="H190" s="265">
        <v>1043</v>
      </c>
      <c r="I190" s="265">
        <v>1593493</v>
      </c>
      <c r="J190" s="265">
        <f t="shared" si="48"/>
        <v>1527.79769894535</v>
      </c>
      <c r="K190" s="265">
        <v>9595</v>
      </c>
      <c r="L190" s="265">
        <v>25654</v>
      </c>
      <c r="M190" s="266">
        <f t="shared" si="49"/>
        <v>0.27220630372492838</v>
      </c>
      <c r="N190" s="266">
        <f t="shared" si="50"/>
        <v>0.72779369627507162</v>
      </c>
      <c r="O190" s="265">
        <f t="shared" si="51"/>
        <v>35249</v>
      </c>
      <c r="P190" s="297">
        <v>2</v>
      </c>
      <c r="Q190" s="265">
        <f t="shared" si="40"/>
        <v>35251</v>
      </c>
      <c r="R190" s="269">
        <v>6105</v>
      </c>
      <c r="S190" s="298">
        <f t="shared" si="52"/>
        <v>9.1994247363374875</v>
      </c>
      <c r="T190" s="298">
        <f t="shared" si="53"/>
        <v>24.596356663470758</v>
      </c>
      <c r="U190" s="201">
        <f t="shared" si="54"/>
        <v>33.79769894534995</v>
      </c>
      <c r="V190" s="200" t="s">
        <v>736</v>
      </c>
    </row>
    <row r="191" spans="1:49" ht="14.5" x14ac:dyDescent="0.35">
      <c r="A191" s="198" t="s">
        <v>160</v>
      </c>
      <c r="B191" s="191" t="s">
        <v>198</v>
      </c>
      <c r="C191" s="193" t="s">
        <v>29</v>
      </c>
      <c r="D191" s="191" t="s">
        <v>5</v>
      </c>
      <c r="E191" s="93" t="s">
        <v>201</v>
      </c>
      <c r="F191" s="249" t="s">
        <v>500</v>
      </c>
      <c r="G191" s="249" t="s">
        <v>6</v>
      </c>
      <c r="H191" s="265">
        <v>6</v>
      </c>
      <c r="I191" s="265">
        <v>5061</v>
      </c>
      <c r="J191" s="265">
        <f t="shared" si="48"/>
        <v>843.5</v>
      </c>
      <c r="K191" s="265">
        <v>26</v>
      </c>
      <c r="L191" s="265">
        <v>4</v>
      </c>
      <c r="M191" s="266">
        <f t="shared" si="49"/>
        <v>0.8666666666666667</v>
      </c>
      <c r="N191" s="266">
        <f t="shared" si="50"/>
        <v>0.13333333333333333</v>
      </c>
      <c r="O191" s="265">
        <f t="shared" si="51"/>
        <v>30</v>
      </c>
      <c r="P191" s="297">
        <v>10</v>
      </c>
      <c r="Q191" s="265">
        <f t="shared" si="40"/>
        <v>40</v>
      </c>
      <c r="R191" s="270">
        <v>16</v>
      </c>
      <c r="S191" s="298">
        <f t="shared" si="52"/>
        <v>4.333333333333333</v>
      </c>
      <c r="T191" s="298">
        <f t="shared" si="53"/>
        <v>0.66666666666666663</v>
      </c>
      <c r="U191" s="201">
        <f t="shared" si="54"/>
        <v>6.666666666666667</v>
      </c>
      <c r="V191" s="200" t="s">
        <v>736</v>
      </c>
    </row>
    <row r="192" spans="1:49" ht="14.5" x14ac:dyDescent="0.35">
      <c r="A192" s="190" t="s">
        <v>160</v>
      </c>
      <c r="B192" s="191" t="s">
        <v>198</v>
      </c>
      <c r="C192" s="191" t="s">
        <v>14</v>
      </c>
      <c r="D192" s="191" t="s">
        <v>10</v>
      </c>
      <c r="E192" s="94" t="str">
        <f>HYPERLINK("https://youtube.com/MinisteroEsteri","https://youtube.com/MinisteroEsteri")</f>
        <v>https://youtube.com/MinisteroEsteri</v>
      </c>
      <c r="F192" s="249" t="s">
        <v>425</v>
      </c>
      <c r="G192" s="249" t="s">
        <v>12</v>
      </c>
      <c r="H192" s="265">
        <v>827</v>
      </c>
      <c r="I192" s="265">
        <v>394221</v>
      </c>
      <c r="J192" s="265">
        <f t="shared" si="48"/>
        <v>476.6880290205562</v>
      </c>
      <c r="K192" s="265">
        <v>1228</v>
      </c>
      <c r="L192" s="265">
        <v>204</v>
      </c>
      <c r="M192" s="266">
        <f t="shared" si="49"/>
        <v>0.85754189944134074</v>
      </c>
      <c r="N192" s="266">
        <f t="shared" si="50"/>
        <v>0.14245810055865921</v>
      </c>
      <c r="O192" s="265">
        <f t="shared" si="51"/>
        <v>1432</v>
      </c>
      <c r="P192" s="297">
        <v>346</v>
      </c>
      <c r="Q192" s="265">
        <f t="shared" si="40"/>
        <v>1778</v>
      </c>
      <c r="R192" s="269">
        <v>1712</v>
      </c>
      <c r="S192" s="298">
        <f t="shared" si="52"/>
        <v>1.4848851269649335</v>
      </c>
      <c r="T192" s="298">
        <f t="shared" si="53"/>
        <v>0.24667472793228537</v>
      </c>
      <c r="U192" s="201">
        <f t="shared" si="54"/>
        <v>2.1499395405078596</v>
      </c>
      <c r="V192" s="200" t="s">
        <v>736</v>
      </c>
    </row>
    <row r="193" spans="1:48" ht="14.5" x14ac:dyDescent="0.35">
      <c r="A193" s="190" t="s">
        <v>160</v>
      </c>
      <c r="B193" s="191" t="s">
        <v>202</v>
      </c>
      <c r="C193" s="191" t="s">
        <v>4</v>
      </c>
      <c r="D193" s="191" t="s">
        <v>5</v>
      </c>
      <c r="E193" s="94" t="str">
        <f>HYPERLINK("https://youtube.com/presidencakosoves","https://youtube.com/presidencakosoves")</f>
        <v>https://youtube.com/presidencakosoves</v>
      </c>
      <c r="F193" s="249" t="s">
        <v>203</v>
      </c>
      <c r="G193" s="249" t="s">
        <v>12</v>
      </c>
      <c r="H193" s="265">
        <v>16</v>
      </c>
      <c r="I193" s="265">
        <v>13264</v>
      </c>
      <c r="J193" s="265">
        <f t="shared" si="48"/>
        <v>829</v>
      </c>
      <c r="K193" s="265">
        <v>44</v>
      </c>
      <c r="L193" s="265">
        <v>8</v>
      </c>
      <c r="M193" s="266">
        <f t="shared" si="49"/>
        <v>0.84615384615384615</v>
      </c>
      <c r="N193" s="266">
        <f t="shared" si="50"/>
        <v>0.15384615384615385</v>
      </c>
      <c r="O193" s="265">
        <f t="shared" si="51"/>
        <v>52</v>
      </c>
      <c r="P193" s="297">
        <v>2</v>
      </c>
      <c r="Q193" s="265">
        <f t="shared" si="40"/>
        <v>54</v>
      </c>
      <c r="R193" s="269">
        <v>48</v>
      </c>
      <c r="S193" s="298">
        <f t="shared" si="52"/>
        <v>2.75</v>
      </c>
      <c r="T193" s="298">
        <f t="shared" si="53"/>
        <v>0.5</v>
      </c>
      <c r="U193" s="201">
        <f t="shared" si="54"/>
        <v>3.375</v>
      </c>
      <c r="V193" s="197" t="s">
        <v>736</v>
      </c>
    </row>
    <row r="194" spans="1:48" ht="14.5" x14ac:dyDescent="0.35">
      <c r="A194" s="190" t="s">
        <v>160</v>
      </c>
      <c r="B194" s="191" t="s">
        <v>202</v>
      </c>
      <c r="C194" s="191" t="s">
        <v>29</v>
      </c>
      <c r="D194" s="191" t="s">
        <v>5</v>
      </c>
      <c r="E194" s="93" t="s">
        <v>456</v>
      </c>
      <c r="F194" s="249" t="s">
        <v>501</v>
      </c>
      <c r="G194" s="249" t="s">
        <v>6</v>
      </c>
      <c r="H194" s="265">
        <v>35</v>
      </c>
      <c r="I194" s="265">
        <v>407575</v>
      </c>
      <c r="J194" s="265">
        <f t="shared" si="48"/>
        <v>11645</v>
      </c>
      <c r="K194" s="265">
        <v>541</v>
      </c>
      <c r="L194" s="265">
        <v>305</v>
      </c>
      <c r="M194" s="266">
        <f t="shared" si="49"/>
        <v>0.63947990543735223</v>
      </c>
      <c r="N194" s="266">
        <f t="shared" si="50"/>
        <v>0.36052009456264777</v>
      </c>
      <c r="O194" s="265">
        <f t="shared" si="51"/>
        <v>846</v>
      </c>
      <c r="P194" s="297">
        <v>77</v>
      </c>
      <c r="Q194" s="265">
        <f t="shared" si="40"/>
        <v>923</v>
      </c>
      <c r="R194" s="270">
        <v>552</v>
      </c>
      <c r="S194" s="298">
        <f t="shared" si="52"/>
        <v>15.457142857142857</v>
      </c>
      <c r="T194" s="298">
        <f t="shared" si="53"/>
        <v>8.7142857142857135</v>
      </c>
      <c r="U194" s="201">
        <f t="shared" si="54"/>
        <v>26.37142857142857</v>
      </c>
      <c r="V194" s="200" t="s">
        <v>736</v>
      </c>
    </row>
    <row r="195" spans="1:48" ht="14.5" x14ac:dyDescent="0.35">
      <c r="A195" s="190" t="s">
        <v>160</v>
      </c>
      <c r="B195" s="191" t="s">
        <v>202</v>
      </c>
      <c r="C195" s="191" t="s">
        <v>14</v>
      </c>
      <c r="D195" s="191" t="s">
        <v>10</v>
      </c>
      <c r="E195" s="93" t="s">
        <v>796</v>
      </c>
      <c r="F195" s="249" t="s">
        <v>797</v>
      </c>
      <c r="G195" s="249" t="s">
        <v>12</v>
      </c>
      <c r="H195" s="265">
        <v>79</v>
      </c>
      <c r="I195" s="265">
        <v>21278</v>
      </c>
      <c r="J195" s="265">
        <f t="shared" si="48"/>
        <v>269.34177215189874</v>
      </c>
      <c r="K195" s="265">
        <v>19</v>
      </c>
      <c r="L195" s="265">
        <v>5</v>
      </c>
      <c r="M195" s="266">
        <f t="shared" si="49"/>
        <v>0.79166666666666663</v>
      </c>
      <c r="N195" s="266">
        <f t="shared" si="50"/>
        <v>0.20833333333333334</v>
      </c>
      <c r="O195" s="265">
        <f t="shared" si="51"/>
        <v>24</v>
      </c>
      <c r="P195" s="297">
        <v>2</v>
      </c>
      <c r="Q195" s="265">
        <f t="shared" ref="Q195:Q258" si="55">SUM(O195,P195)</f>
        <v>26</v>
      </c>
      <c r="R195" s="269">
        <v>19</v>
      </c>
      <c r="S195" s="298">
        <f t="shared" si="52"/>
        <v>0.24050632911392406</v>
      </c>
      <c r="T195" s="298">
        <f t="shared" si="53"/>
        <v>6.3291139240506333E-2</v>
      </c>
      <c r="U195" s="201">
        <f t="shared" si="54"/>
        <v>0.32911392405063289</v>
      </c>
      <c r="V195" s="200" t="s">
        <v>736</v>
      </c>
    </row>
    <row r="196" spans="1:48" ht="14.5" x14ac:dyDescent="0.35">
      <c r="A196" s="196" t="s">
        <v>160</v>
      </c>
      <c r="B196" s="197" t="s">
        <v>204</v>
      </c>
      <c r="C196" s="197" t="s">
        <v>4</v>
      </c>
      <c r="D196" s="197" t="s">
        <v>5</v>
      </c>
      <c r="E196" s="93" t="s">
        <v>846</v>
      </c>
      <c r="F196" s="249" t="s">
        <v>328</v>
      </c>
      <c r="G196" s="249" t="s">
        <v>12</v>
      </c>
      <c r="H196" s="265">
        <v>1304</v>
      </c>
      <c r="I196" s="265">
        <v>897591</v>
      </c>
      <c r="J196" s="265">
        <f t="shared" si="48"/>
        <v>688.33665644171776</v>
      </c>
      <c r="K196" s="265">
        <v>3801</v>
      </c>
      <c r="L196" s="265">
        <v>1453</v>
      </c>
      <c r="M196" s="266">
        <f t="shared" si="49"/>
        <v>0.72344880091358965</v>
      </c>
      <c r="N196" s="266">
        <f t="shared" si="50"/>
        <v>0.27655119908641035</v>
      </c>
      <c r="O196" s="265">
        <f t="shared" si="51"/>
        <v>5254</v>
      </c>
      <c r="P196" s="297">
        <v>229</v>
      </c>
      <c r="Q196" s="265">
        <f t="shared" si="55"/>
        <v>5483</v>
      </c>
      <c r="R196" s="270">
        <v>959</v>
      </c>
      <c r="S196" s="298">
        <f t="shared" si="52"/>
        <v>2.9148773006134969</v>
      </c>
      <c r="T196" s="298">
        <f t="shared" si="53"/>
        <v>1.1142638036809815</v>
      </c>
      <c r="U196" s="201">
        <f t="shared" si="54"/>
        <v>4.2047546012269938</v>
      </c>
      <c r="V196" s="200" t="s">
        <v>736</v>
      </c>
    </row>
    <row r="197" spans="1:48" ht="14.5" x14ac:dyDescent="0.35">
      <c r="A197" s="190" t="s">
        <v>160</v>
      </c>
      <c r="B197" s="191" t="s">
        <v>204</v>
      </c>
      <c r="C197" s="191" t="s">
        <v>9</v>
      </c>
      <c r="D197" s="191" t="s">
        <v>10</v>
      </c>
      <c r="E197" s="93" t="s">
        <v>457</v>
      </c>
      <c r="F197" s="249" t="s">
        <v>553</v>
      </c>
      <c r="G197" s="249" t="s">
        <v>12</v>
      </c>
      <c r="H197" s="265">
        <v>3</v>
      </c>
      <c r="I197" s="265">
        <v>20871</v>
      </c>
      <c r="J197" s="265">
        <f t="shared" si="48"/>
        <v>6957</v>
      </c>
      <c r="K197" s="265">
        <v>67</v>
      </c>
      <c r="L197" s="265">
        <v>6</v>
      </c>
      <c r="M197" s="266">
        <f t="shared" si="49"/>
        <v>0.9178082191780822</v>
      </c>
      <c r="N197" s="266">
        <f t="shared" si="50"/>
        <v>8.2191780821917804E-2</v>
      </c>
      <c r="O197" s="265">
        <f t="shared" si="51"/>
        <v>73</v>
      </c>
      <c r="P197" s="297">
        <v>2</v>
      </c>
      <c r="Q197" s="265">
        <f t="shared" si="55"/>
        <v>75</v>
      </c>
      <c r="R197" s="270">
        <v>195</v>
      </c>
      <c r="S197" s="298">
        <f t="shared" si="52"/>
        <v>22.333333333333332</v>
      </c>
      <c r="T197" s="298">
        <f t="shared" si="53"/>
        <v>2</v>
      </c>
      <c r="U197" s="201">
        <f t="shared" si="54"/>
        <v>25</v>
      </c>
      <c r="V197" s="197" t="s">
        <v>736</v>
      </c>
    </row>
    <row r="198" spans="1:48" ht="14.5" x14ac:dyDescent="0.35">
      <c r="A198" s="190" t="s">
        <v>160</v>
      </c>
      <c r="B198" s="191" t="s">
        <v>204</v>
      </c>
      <c r="C198" s="191" t="s">
        <v>13</v>
      </c>
      <c r="D198" s="191" t="s">
        <v>10</v>
      </c>
      <c r="E198" s="94" t="str">
        <f>HYPERLINK("https://youtube.com/valstskanceleja","https://youtube.com/valstskanceleja")</f>
        <v>https://youtube.com/valstskanceleja</v>
      </c>
      <c r="F198" s="249" t="s">
        <v>373</v>
      </c>
      <c r="G198" s="249" t="s">
        <v>12</v>
      </c>
      <c r="H198" s="265">
        <v>278</v>
      </c>
      <c r="I198" s="265">
        <v>197257</v>
      </c>
      <c r="J198" s="265">
        <f t="shared" si="48"/>
        <v>709.55755395683457</v>
      </c>
      <c r="K198" s="265">
        <v>717</v>
      </c>
      <c r="L198" s="265">
        <v>158</v>
      </c>
      <c r="M198" s="266">
        <f t="shared" si="49"/>
        <v>0.8194285714285714</v>
      </c>
      <c r="N198" s="266">
        <f t="shared" si="50"/>
        <v>0.18057142857142858</v>
      </c>
      <c r="O198" s="265">
        <f t="shared" si="51"/>
        <v>875</v>
      </c>
      <c r="P198" s="297">
        <v>88</v>
      </c>
      <c r="Q198" s="265">
        <f t="shared" si="55"/>
        <v>963</v>
      </c>
      <c r="R198" s="269">
        <v>247</v>
      </c>
      <c r="S198" s="298">
        <f t="shared" si="52"/>
        <v>2.579136690647482</v>
      </c>
      <c r="T198" s="298">
        <f t="shared" si="53"/>
        <v>0.56834532374100721</v>
      </c>
      <c r="U198" s="201">
        <f t="shared" si="54"/>
        <v>3.464028776978417</v>
      </c>
      <c r="V198" s="197" t="s">
        <v>736</v>
      </c>
    </row>
    <row r="199" spans="1:48" ht="14.5" x14ac:dyDescent="0.35">
      <c r="A199" s="190" t="s">
        <v>160</v>
      </c>
      <c r="B199" s="191" t="s">
        <v>204</v>
      </c>
      <c r="C199" s="191" t="s">
        <v>14</v>
      </c>
      <c r="D199" s="191" t="s">
        <v>10</v>
      </c>
      <c r="E199" s="94" t="str">
        <f>HYPERLINK("https://youtube.com/LatvianMFA","https://youtube.com/LatvianMFA")</f>
        <v>https://youtube.com/LatvianMFA</v>
      </c>
      <c r="F199" s="249" t="s">
        <v>405</v>
      </c>
      <c r="G199" s="249" t="s">
        <v>12</v>
      </c>
      <c r="H199" s="265">
        <v>233</v>
      </c>
      <c r="I199" s="265">
        <v>19937</v>
      </c>
      <c r="J199" s="265">
        <f t="shared" si="48"/>
        <v>85.566523605150209</v>
      </c>
      <c r="K199" s="265">
        <v>69</v>
      </c>
      <c r="L199" s="265">
        <v>10</v>
      </c>
      <c r="M199" s="266">
        <f t="shared" si="49"/>
        <v>0.87341772151898733</v>
      </c>
      <c r="N199" s="266">
        <f t="shared" si="50"/>
        <v>0.12658227848101267</v>
      </c>
      <c r="O199" s="265">
        <f t="shared" si="51"/>
        <v>79</v>
      </c>
      <c r="P199" s="297">
        <v>6</v>
      </c>
      <c r="Q199" s="265">
        <f t="shared" si="55"/>
        <v>85</v>
      </c>
      <c r="R199" s="269">
        <v>86</v>
      </c>
      <c r="S199" s="298">
        <f t="shared" si="52"/>
        <v>0.29613733905579398</v>
      </c>
      <c r="T199" s="298">
        <f t="shared" si="53"/>
        <v>4.2918454935622317E-2</v>
      </c>
      <c r="U199" s="201">
        <f t="shared" si="54"/>
        <v>0.36480686695278969</v>
      </c>
      <c r="V199" s="200" t="s">
        <v>736</v>
      </c>
    </row>
    <row r="200" spans="1:48" ht="14.5" x14ac:dyDescent="0.35">
      <c r="A200" s="190" t="s">
        <v>160</v>
      </c>
      <c r="B200" s="191" t="s">
        <v>205</v>
      </c>
      <c r="C200" s="191" t="s">
        <v>13</v>
      </c>
      <c r="D200" s="191" t="s">
        <v>10</v>
      </c>
      <c r="E200" s="94" t="str">
        <f>HYPERLINK("https://youtube.com/RegierungFL","https://youtube.com/RegierungFL")</f>
        <v>https://youtube.com/RegierungFL</v>
      </c>
      <c r="F200" s="249" t="s">
        <v>377</v>
      </c>
      <c r="G200" s="249" t="s">
        <v>773</v>
      </c>
      <c r="H200" s="265">
        <v>399</v>
      </c>
      <c r="I200" s="265">
        <v>61462</v>
      </c>
      <c r="J200" s="265">
        <f t="shared" si="48"/>
        <v>154.04010025062658</v>
      </c>
      <c r="K200" s="265">
        <v>136</v>
      </c>
      <c r="L200" s="265">
        <v>25</v>
      </c>
      <c r="M200" s="266">
        <f t="shared" si="49"/>
        <v>0.84472049689440998</v>
      </c>
      <c r="N200" s="266">
        <f t="shared" si="50"/>
        <v>0.15527950310559005</v>
      </c>
      <c r="O200" s="265">
        <f t="shared" si="51"/>
        <v>161</v>
      </c>
      <c r="P200" s="297">
        <v>27</v>
      </c>
      <c r="Q200" s="265">
        <f t="shared" si="55"/>
        <v>188</v>
      </c>
      <c r="R200" s="269">
        <v>68</v>
      </c>
      <c r="S200" s="298">
        <f t="shared" si="52"/>
        <v>0.34085213032581452</v>
      </c>
      <c r="T200" s="298">
        <f t="shared" si="53"/>
        <v>6.2656641604010022E-2</v>
      </c>
      <c r="U200" s="201">
        <f t="shared" si="54"/>
        <v>0.47117794486215536</v>
      </c>
      <c r="V200" s="197" t="s">
        <v>736</v>
      </c>
    </row>
    <row r="201" spans="1:48" ht="14.5" x14ac:dyDescent="0.35">
      <c r="A201" s="190" t="s">
        <v>160</v>
      </c>
      <c r="B201" s="191" t="s">
        <v>206</v>
      </c>
      <c r="C201" s="191" t="s">
        <v>4</v>
      </c>
      <c r="D201" s="191" t="s">
        <v>5</v>
      </c>
      <c r="E201" s="94" t="str">
        <f>HYPERLINK("https://youtube.com/PresidentofLithuania","https://youtube.com/PresidentofLithuania")</f>
        <v>https://youtube.com/PresidentofLithuania</v>
      </c>
      <c r="F201" s="249" t="s">
        <v>343</v>
      </c>
      <c r="G201" s="249" t="s">
        <v>12</v>
      </c>
      <c r="H201" s="265">
        <v>1224</v>
      </c>
      <c r="I201" s="265">
        <v>1099566</v>
      </c>
      <c r="J201" s="265">
        <f t="shared" si="48"/>
        <v>898.33823529411768</v>
      </c>
      <c r="K201" s="265">
        <v>5871</v>
      </c>
      <c r="L201" s="265">
        <v>1659</v>
      </c>
      <c r="M201" s="266">
        <f t="shared" si="49"/>
        <v>0.7796812749003984</v>
      </c>
      <c r="N201" s="266">
        <f t="shared" si="50"/>
        <v>0.2203187250996016</v>
      </c>
      <c r="O201" s="265">
        <f t="shared" si="51"/>
        <v>7530</v>
      </c>
      <c r="P201" s="297">
        <v>1077</v>
      </c>
      <c r="Q201" s="265">
        <f t="shared" si="55"/>
        <v>8607</v>
      </c>
      <c r="R201" s="269">
        <v>1489</v>
      </c>
      <c r="S201" s="298">
        <f t="shared" si="52"/>
        <v>4.7965686274509807</v>
      </c>
      <c r="T201" s="298">
        <f t="shared" si="53"/>
        <v>1.3553921568627452</v>
      </c>
      <c r="U201" s="201">
        <f t="shared" si="54"/>
        <v>7.0318627450980395</v>
      </c>
      <c r="V201" s="197" t="s">
        <v>736</v>
      </c>
    </row>
    <row r="202" spans="1:48" ht="14.5" x14ac:dyDescent="0.35">
      <c r="A202" s="190" t="s">
        <v>160</v>
      </c>
      <c r="B202" s="191" t="s">
        <v>206</v>
      </c>
      <c r="C202" s="191" t="s">
        <v>13</v>
      </c>
      <c r="D202" s="191" t="s">
        <v>10</v>
      </c>
      <c r="E202" s="94" t="str">
        <f>HYPERLINK("https://youtube.com/lrvyriausybe","https://youtube.com/lrvyriausybe")</f>
        <v>https://youtube.com/lrvyriausybe</v>
      </c>
      <c r="F202" s="249" t="s">
        <v>344</v>
      </c>
      <c r="G202" s="249" t="s">
        <v>738</v>
      </c>
      <c r="H202" s="300">
        <v>0</v>
      </c>
      <c r="I202" s="300">
        <v>0</v>
      </c>
      <c r="J202" s="265">
        <v>0</v>
      </c>
      <c r="K202" s="300">
        <v>0</v>
      </c>
      <c r="L202" s="300">
        <v>0</v>
      </c>
      <c r="M202" s="265">
        <v>0</v>
      </c>
      <c r="N202" s="265">
        <v>0</v>
      </c>
      <c r="O202" s="265">
        <v>0</v>
      </c>
      <c r="P202" s="301">
        <v>0</v>
      </c>
      <c r="Q202" s="265">
        <f t="shared" si="55"/>
        <v>0</v>
      </c>
      <c r="R202" s="269">
        <v>402</v>
      </c>
      <c r="S202" s="300">
        <v>0</v>
      </c>
      <c r="T202" s="300">
        <v>0</v>
      </c>
      <c r="U202" s="300">
        <v>0</v>
      </c>
      <c r="V202" s="200" t="s">
        <v>736</v>
      </c>
    </row>
    <row r="203" spans="1:48" ht="14.5" x14ac:dyDescent="0.35">
      <c r="A203" s="198" t="s">
        <v>160</v>
      </c>
      <c r="B203" s="193" t="s">
        <v>206</v>
      </c>
      <c r="C203" s="191" t="s">
        <v>14</v>
      </c>
      <c r="D203" s="191" t="s">
        <v>10</v>
      </c>
      <c r="E203" s="94" t="str">
        <f>HYPERLINK("https://youtube.com/MFAofLITHUANIA","https://youtube.com/MFAofLITHUANIA")</f>
        <v>https://youtube.com/MFAofLITHUANIA</v>
      </c>
      <c r="F203" s="249" t="s">
        <v>324</v>
      </c>
      <c r="G203" s="249" t="s">
        <v>12</v>
      </c>
      <c r="H203" s="265">
        <v>185</v>
      </c>
      <c r="I203" s="265">
        <v>122584</v>
      </c>
      <c r="J203" s="265">
        <f t="shared" ref="J203:J244" si="56">SUM(I203/H203)</f>
        <v>662.61621621621623</v>
      </c>
      <c r="K203" s="265">
        <v>781</v>
      </c>
      <c r="L203" s="265">
        <v>191</v>
      </c>
      <c r="M203" s="266">
        <f t="shared" ref="M203:M244" si="57">SUM(K203)/O203</f>
        <v>0.80349794238683125</v>
      </c>
      <c r="N203" s="266">
        <f t="shared" ref="N203:N244" si="58">SUM(L203)/O203</f>
        <v>0.19650205761316872</v>
      </c>
      <c r="O203" s="265">
        <f t="shared" ref="O203:O244" si="59">SUM(K203:L203)</f>
        <v>972</v>
      </c>
      <c r="P203" s="297">
        <v>110</v>
      </c>
      <c r="Q203" s="265">
        <f t="shared" si="55"/>
        <v>1082</v>
      </c>
      <c r="R203" s="269">
        <v>133</v>
      </c>
      <c r="S203" s="298">
        <f t="shared" ref="S203:S244" si="60">SUM(K203)/H203</f>
        <v>4.2216216216216216</v>
      </c>
      <c r="T203" s="298">
        <f t="shared" ref="T203:T244" si="61">SUM(L203)/H203</f>
        <v>1.0324324324324323</v>
      </c>
      <c r="U203" s="201">
        <f t="shared" ref="U203:U244" si="62">SUM(Q203)/(H203)</f>
        <v>5.8486486486486484</v>
      </c>
      <c r="V203" s="200" t="s">
        <v>736</v>
      </c>
    </row>
    <row r="204" spans="1:48" ht="14.5" x14ac:dyDescent="0.35">
      <c r="A204" s="196" t="s">
        <v>160</v>
      </c>
      <c r="B204" s="197" t="s">
        <v>208</v>
      </c>
      <c r="C204" s="197" t="s">
        <v>4</v>
      </c>
      <c r="D204" s="197" t="s">
        <v>5</v>
      </c>
      <c r="E204" s="98" t="s">
        <v>458</v>
      </c>
      <c r="F204" s="249" t="s">
        <v>567</v>
      </c>
      <c r="G204" s="249" t="s">
        <v>12</v>
      </c>
      <c r="H204" s="265">
        <v>136</v>
      </c>
      <c r="I204" s="265">
        <v>52503</v>
      </c>
      <c r="J204" s="265">
        <f t="shared" si="56"/>
        <v>386.0514705882353</v>
      </c>
      <c r="K204" s="265">
        <v>258</v>
      </c>
      <c r="L204" s="265">
        <v>11</v>
      </c>
      <c r="M204" s="266">
        <f t="shared" si="57"/>
        <v>0.95910780669144979</v>
      </c>
      <c r="N204" s="266">
        <f t="shared" si="58"/>
        <v>4.0892193308550186E-2</v>
      </c>
      <c r="O204" s="265">
        <f t="shared" si="59"/>
        <v>269</v>
      </c>
      <c r="P204" s="297">
        <v>7</v>
      </c>
      <c r="Q204" s="265">
        <f t="shared" si="55"/>
        <v>276</v>
      </c>
      <c r="R204" s="271">
        <v>115</v>
      </c>
      <c r="S204" s="298">
        <f t="shared" si="60"/>
        <v>1.8970588235294117</v>
      </c>
      <c r="T204" s="298">
        <f t="shared" si="61"/>
        <v>8.0882352941176475E-2</v>
      </c>
      <c r="U204" s="201">
        <f t="shared" si="62"/>
        <v>2.0294117647058822</v>
      </c>
      <c r="V204" s="200" t="s">
        <v>736</v>
      </c>
    </row>
    <row r="205" spans="1:48" ht="14.5" x14ac:dyDescent="0.35">
      <c r="A205" s="190" t="s">
        <v>160</v>
      </c>
      <c r="B205" s="191" t="s">
        <v>208</v>
      </c>
      <c r="C205" s="191" t="s">
        <v>7</v>
      </c>
      <c r="D205" s="191" t="s">
        <v>5</v>
      </c>
      <c r="E205" s="94" t="str">
        <f>HYPERLINK("https://youtube.com/JosephMUSCATdotcom","https://youtube.com/JosephMUSCATdotcom")</f>
        <v>https://youtube.com/JosephMUSCATdotcom</v>
      </c>
      <c r="F205" s="249" t="s">
        <v>209</v>
      </c>
      <c r="G205" s="249" t="s">
        <v>6</v>
      </c>
      <c r="H205" s="265">
        <v>155</v>
      </c>
      <c r="I205" s="265">
        <v>1052999</v>
      </c>
      <c r="J205" s="265">
        <f t="shared" si="56"/>
        <v>6793.5419354838714</v>
      </c>
      <c r="K205" s="265">
        <v>5421</v>
      </c>
      <c r="L205" s="265">
        <v>1705</v>
      </c>
      <c r="M205" s="266">
        <f t="shared" si="57"/>
        <v>0.76073533539152405</v>
      </c>
      <c r="N205" s="266">
        <f t="shared" si="58"/>
        <v>0.23926466460847601</v>
      </c>
      <c r="O205" s="265">
        <f t="shared" si="59"/>
        <v>7126</v>
      </c>
      <c r="P205" s="297">
        <v>90</v>
      </c>
      <c r="Q205" s="265">
        <f t="shared" si="55"/>
        <v>7216</v>
      </c>
      <c r="R205" s="269">
        <v>4170</v>
      </c>
      <c r="S205" s="298">
        <f t="shared" si="60"/>
        <v>34.974193548387099</v>
      </c>
      <c r="T205" s="298">
        <f t="shared" si="61"/>
        <v>11</v>
      </c>
      <c r="U205" s="201">
        <f t="shared" si="62"/>
        <v>46.554838709677419</v>
      </c>
      <c r="V205" s="200" t="s">
        <v>735</v>
      </c>
    </row>
    <row r="206" spans="1:48" ht="14.5" x14ac:dyDescent="0.35">
      <c r="A206" s="250" t="s">
        <v>160</v>
      </c>
      <c r="B206" s="191" t="s">
        <v>208</v>
      </c>
      <c r="C206" s="191" t="s">
        <v>13</v>
      </c>
      <c r="D206" s="191" t="s">
        <v>10</v>
      </c>
      <c r="E206" s="93" t="s">
        <v>210</v>
      </c>
      <c r="F206" s="249" t="s">
        <v>576</v>
      </c>
      <c r="G206" s="249" t="s">
        <v>12</v>
      </c>
      <c r="H206" s="265">
        <v>24</v>
      </c>
      <c r="I206" s="265">
        <v>16620</v>
      </c>
      <c r="J206" s="265">
        <f t="shared" si="56"/>
        <v>692.5</v>
      </c>
      <c r="K206" s="265">
        <v>98</v>
      </c>
      <c r="L206" s="265">
        <v>7</v>
      </c>
      <c r="M206" s="266">
        <f t="shared" si="57"/>
        <v>0.93333333333333335</v>
      </c>
      <c r="N206" s="266">
        <f t="shared" si="58"/>
        <v>6.6666666666666666E-2</v>
      </c>
      <c r="O206" s="265">
        <f t="shared" si="59"/>
        <v>105</v>
      </c>
      <c r="P206" s="297">
        <v>0</v>
      </c>
      <c r="Q206" s="265">
        <f t="shared" si="55"/>
        <v>105</v>
      </c>
      <c r="R206" s="270">
        <v>103</v>
      </c>
      <c r="S206" s="298">
        <f t="shared" si="60"/>
        <v>4.083333333333333</v>
      </c>
      <c r="T206" s="298">
        <f t="shared" si="61"/>
        <v>0.29166666666666669</v>
      </c>
      <c r="U206" s="201">
        <f t="shared" si="62"/>
        <v>4.375</v>
      </c>
      <c r="V206" s="200" t="s">
        <v>736</v>
      </c>
    </row>
    <row r="207" spans="1:48" ht="14.5" x14ac:dyDescent="0.35">
      <c r="A207" s="190" t="s">
        <v>160</v>
      </c>
      <c r="B207" s="191" t="s">
        <v>211</v>
      </c>
      <c r="C207" s="191" t="s">
        <v>4</v>
      </c>
      <c r="D207" s="191" t="s">
        <v>5</v>
      </c>
      <c r="E207" s="94" t="str">
        <f>HYPERLINK("https://youtube.com/channel/UCIXYOBuejyv3il1g8Gd0tHw","https://youtube.com/channel/UCIXYOBuejyv3il1g8Gd0tHw")</f>
        <v>https://youtube.com/channel/UCIXYOBuejyv3il1g8Gd0tHw</v>
      </c>
      <c r="F207" s="249" t="s">
        <v>617</v>
      </c>
      <c r="G207" s="249" t="s">
        <v>12</v>
      </c>
      <c r="H207" s="265">
        <v>520</v>
      </c>
      <c r="I207" s="265">
        <v>124877</v>
      </c>
      <c r="J207" s="265">
        <f t="shared" si="56"/>
        <v>240.14807692307693</v>
      </c>
      <c r="K207" s="265">
        <v>538</v>
      </c>
      <c r="L207" s="265">
        <v>373</v>
      </c>
      <c r="M207" s="266">
        <f t="shared" si="57"/>
        <v>0.59055982436882548</v>
      </c>
      <c r="N207" s="266">
        <f t="shared" si="58"/>
        <v>0.40944017563117452</v>
      </c>
      <c r="O207" s="265">
        <f t="shared" si="59"/>
        <v>911</v>
      </c>
      <c r="P207" s="297">
        <v>10</v>
      </c>
      <c r="Q207" s="265">
        <f t="shared" si="55"/>
        <v>921</v>
      </c>
      <c r="R207" s="269">
        <v>194</v>
      </c>
      <c r="S207" s="298">
        <f t="shared" si="60"/>
        <v>1.0346153846153847</v>
      </c>
      <c r="T207" s="298">
        <f t="shared" si="61"/>
        <v>0.71730769230769231</v>
      </c>
      <c r="U207" s="201">
        <f t="shared" si="62"/>
        <v>1.7711538461538461</v>
      </c>
      <c r="V207" s="200" t="s">
        <v>736</v>
      </c>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row>
    <row r="208" spans="1:48" ht="14.5" x14ac:dyDescent="0.35">
      <c r="A208" s="190" t="s">
        <v>160</v>
      </c>
      <c r="B208" s="191" t="s">
        <v>211</v>
      </c>
      <c r="C208" s="191" t="s">
        <v>14</v>
      </c>
      <c r="D208" s="191" t="s">
        <v>10</v>
      </c>
      <c r="E208" s="94" t="str">
        <f>HYPERLINK("https://youtube.com/MAEIERM","https://youtube.com/MAEIERM")</f>
        <v>https://youtube.com/MAEIERM</v>
      </c>
      <c r="F208" s="249" t="s">
        <v>400</v>
      </c>
      <c r="G208" s="249" t="s">
        <v>12</v>
      </c>
      <c r="H208" s="265">
        <v>45</v>
      </c>
      <c r="I208" s="265">
        <v>17876</v>
      </c>
      <c r="J208" s="265">
        <f t="shared" si="56"/>
        <v>397.24444444444447</v>
      </c>
      <c r="K208" s="265">
        <v>84</v>
      </c>
      <c r="L208" s="265">
        <v>17</v>
      </c>
      <c r="M208" s="266">
        <f t="shared" si="57"/>
        <v>0.83168316831683164</v>
      </c>
      <c r="N208" s="266">
        <f t="shared" si="58"/>
        <v>0.16831683168316833</v>
      </c>
      <c r="O208" s="265">
        <f t="shared" si="59"/>
        <v>101</v>
      </c>
      <c r="P208" s="297">
        <v>15</v>
      </c>
      <c r="Q208" s="265">
        <f t="shared" si="55"/>
        <v>116</v>
      </c>
      <c r="R208" s="269">
        <v>70</v>
      </c>
      <c r="S208" s="298">
        <f t="shared" si="60"/>
        <v>1.8666666666666667</v>
      </c>
      <c r="T208" s="298">
        <f t="shared" si="61"/>
        <v>0.37777777777777777</v>
      </c>
      <c r="U208" s="201">
        <f t="shared" si="62"/>
        <v>2.5777777777777779</v>
      </c>
      <c r="V208" s="200" t="s">
        <v>736</v>
      </c>
    </row>
    <row r="209" spans="1:48" ht="14.5" x14ac:dyDescent="0.35">
      <c r="A209" s="190" t="s">
        <v>160</v>
      </c>
      <c r="B209" s="191" t="s">
        <v>212</v>
      </c>
      <c r="C209" s="191" t="s">
        <v>13</v>
      </c>
      <c r="D209" s="191" t="s">
        <v>10</v>
      </c>
      <c r="E209" s="95" t="s">
        <v>726</v>
      </c>
      <c r="F209" s="249" t="s">
        <v>826</v>
      </c>
      <c r="G209" s="249" t="s">
        <v>12</v>
      </c>
      <c r="H209" s="265">
        <v>60</v>
      </c>
      <c r="I209" s="265">
        <v>286006</v>
      </c>
      <c r="J209" s="265">
        <f t="shared" si="56"/>
        <v>4766.7666666666664</v>
      </c>
      <c r="K209" s="265">
        <v>52</v>
      </c>
      <c r="L209" s="265">
        <v>11</v>
      </c>
      <c r="M209" s="266">
        <f t="shared" si="57"/>
        <v>0.82539682539682535</v>
      </c>
      <c r="N209" s="266">
        <f t="shared" si="58"/>
        <v>0.17460317460317459</v>
      </c>
      <c r="O209" s="265">
        <f t="shared" si="59"/>
        <v>63</v>
      </c>
      <c r="P209" s="297">
        <v>2</v>
      </c>
      <c r="Q209" s="265">
        <f t="shared" si="55"/>
        <v>65</v>
      </c>
      <c r="R209" s="269" t="s">
        <v>740</v>
      </c>
      <c r="S209" s="298">
        <f t="shared" si="60"/>
        <v>0.8666666666666667</v>
      </c>
      <c r="T209" s="298">
        <f t="shared" si="61"/>
        <v>0.18333333333333332</v>
      </c>
      <c r="U209" s="201">
        <f t="shared" si="62"/>
        <v>1.0833333333333333</v>
      </c>
      <c r="V209" s="200" t="s">
        <v>736</v>
      </c>
    </row>
    <row r="210" spans="1:48" ht="14.5" x14ac:dyDescent="0.35">
      <c r="A210" s="190" t="s">
        <v>160</v>
      </c>
      <c r="B210" s="191" t="s">
        <v>213</v>
      </c>
      <c r="C210" s="191" t="s">
        <v>13</v>
      </c>
      <c r="D210" s="191" t="s">
        <v>10</v>
      </c>
      <c r="E210" s="94" t="str">
        <f>HYPERLINK("https://youtube.com/MeGovernment","https://youtube.com/MeGovernment")</f>
        <v>https://youtube.com/MeGovernment</v>
      </c>
      <c r="F210" s="249" t="s">
        <v>374</v>
      </c>
      <c r="G210" s="249" t="s">
        <v>6</v>
      </c>
      <c r="H210" s="265">
        <v>95</v>
      </c>
      <c r="I210" s="265">
        <v>10348</v>
      </c>
      <c r="J210" s="265">
        <f t="shared" si="56"/>
        <v>108.92631578947369</v>
      </c>
      <c r="K210" s="265">
        <v>19</v>
      </c>
      <c r="L210" s="265">
        <v>18</v>
      </c>
      <c r="M210" s="266">
        <f t="shared" si="57"/>
        <v>0.51351351351351349</v>
      </c>
      <c r="N210" s="266">
        <f t="shared" si="58"/>
        <v>0.48648648648648651</v>
      </c>
      <c r="O210" s="265">
        <f t="shared" si="59"/>
        <v>37</v>
      </c>
      <c r="P210" s="297">
        <v>5</v>
      </c>
      <c r="Q210" s="265">
        <f t="shared" si="55"/>
        <v>42</v>
      </c>
      <c r="R210" s="269">
        <v>20</v>
      </c>
      <c r="S210" s="298">
        <f t="shared" si="60"/>
        <v>0.2</v>
      </c>
      <c r="T210" s="298">
        <f t="shared" si="61"/>
        <v>0.18947368421052632</v>
      </c>
      <c r="U210" s="201">
        <f t="shared" si="62"/>
        <v>0.44210526315789472</v>
      </c>
      <c r="V210" s="200" t="s">
        <v>736</v>
      </c>
    </row>
    <row r="211" spans="1:48" ht="14.5" x14ac:dyDescent="0.35">
      <c r="A211" s="190" t="s">
        <v>160</v>
      </c>
      <c r="B211" s="191" t="s">
        <v>214</v>
      </c>
      <c r="C211" s="191" t="s">
        <v>215</v>
      </c>
      <c r="D211" s="191" t="s">
        <v>10</v>
      </c>
      <c r="E211" s="94" t="str">
        <f>HYPERLINK("https://youtube.com/koninklijkhuis","https://youtube.com/koninklijkhuis")</f>
        <v>https://youtube.com/koninklijkhuis</v>
      </c>
      <c r="F211" s="249" t="s">
        <v>216</v>
      </c>
      <c r="G211" s="249" t="s">
        <v>12</v>
      </c>
      <c r="H211" s="265">
        <v>285</v>
      </c>
      <c r="I211" s="265">
        <v>7115206</v>
      </c>
      <c r="J211" s="265">
        <f t="shared" si="56"/>
        <v>24965.6350877193</v>
      </c>
      <c r="K211" s="265">
        <v>118</v>
      </c>
      <c r="L211" s="265">
        <v>9</v>
      </c>
      <c r="M211" s="266">
        <f t="shared" si="57"/>
        <v>0.92913385826771655</v>
      </c>
      <c r="N211" s="266">
        <f t="shared" si="58"/>
        <v>7.0866141732283464E-2</v>
      </c>
      <c r="O211" s="265">
        <f t="shared" si="59"/>
        <v>127</v>
      </c>
      <c r="P211" s="297">
        <v>0</v>
      </c>
      <c r="Q211" s="265">
        <f t="shared" si="55"/>
        <v>127</v>
      </c>
      <c r="R211" s="269">
        <v>8667</v>
      </c>
      <c r="S211" s="298">
        <f t="shared" si="60"/>
        <v>0.41403508771929826</v>
      </c>
      <c r="T211" s="298">
        <f t="shared" si="61"/>
        <v>3.1578947368421054E-2</v>
      </c>
      <c r="U211" s="201">
        <f t="shared" si="62"/>
        <v>0.4456140350877193</v>
      </c>
      <c r="V211" s="200" t="s">
        <v>736</v>
      </c>
    </row>
    <row r="212" spans="1:48" ht="14.5" x14ac:dyDescent="0.35">
      <c r="A212" s="190" t="s">
        <v>160</v>
      </c>
      <c r="B212" s="191" t="s">
        <v>214</v>
      </c>
      <c r="C212" s="191" t="s">
        <v>7</v>
      </c>
      <c r="D212" s="191" t="s">
        <v>5</v>
      </c>
      <c r="E212" s="94" t="str">
        <f>HYPERLINK("https://youtube.com/DeMinPres","https://youtube.com/DeMinPres")</f>
        <v>https://youtube.com/DeMinPres</v>
      </c>
      <c r="F212" s="249" t="s">
        <v>379</v>
      </c>
      <c r="G212" s="249" t="s">
        <v>12</v>
      </c>
      <c r="H212" s="265">
        <v>492</v>
      </c>
      <c r="I212" s="265">
        <v>273085</v>
      </c>
      <c r="J212" s="265">
        <f t="shared" si="56"/>
        <v>555.05081300813004</v>
      </c>
      <c r="K212" s="265">
        <v>1067</v>
      </c>
      <c r="L212" s="265">
        <v>492</v>
      </c>
      <c r="M212" s="266">
        <f t="shared" si="57"/>
        <v>0.6844130853110969</v>
      </c>
      <c r="N212" s="266">
        <f t="shared" si="58"/>
        <v>0.31558691468890315</v>
      </c>
      <c r="O212" s="265">
        <f t="shared" si="59"/>
        <v>1559</v>
      </c>
      <c r="P212" s="297">
        <v>32</v>
      </c>
      <c r="Q212" s="265">
        <f t="shared" si="55"/>
        <v>1591</v>
      </c>
      <c r="R212" s="269">
        <v>786</v>
      </c>
      <c r="S212" s="298">
        <f t="shared" si="60"/>
        <v>2.1686991869918697</v>
      </c>
      <c r="T212" s="298">
        <f t="shared" si="61"/>
        <v>1</v>
      </c>
      <c r="U212" s="201">
        <f t="shared" si="62"/>
        <v>3.2337398373983741</v>
      </c>
      <c r="V212" s="200" t="s">
        <v>736</v>
      </c>
    </row>
    <row r="213" spans="1:48" ht="14.5" x14ac:dyDescent="0.35">
      <c r="A213" s="190" t="s">
        <v>160</v>
      </c>
      <c r="B213" s="191" t="s">
        <v>214</v>
      </c>
      <c r="C213" s="191" t="s">
        <v>13</v>
      </c>
      <c r="D213" s="191" t="s">
        <v>10</v>
      </c>
      <c r="E213" s="94" t="str">
        <f>HYPERLINK("https://youtube.com/rijksoverheid","https://youtube.com/rijksoverheid")</f>
        <v>https://youtube.com/rijksoverheid</v>
      </c>
      <c r="F213" s="249" t="s">
        <v>348</v>
      </c>
      <c r="G213" s="249" t="s">
        <v>12</v>
      </c>
      <c r="H213" s="265">
        <v>790</v>
      </c>
      <c r="I213" s="265">
        <v>1064055</v>
      </c>
      <c r="J213" s="265">
        <f t="shared" si="56"/>
        <v>1346.9050632911392</v>
      </c>
      <c r="K213" s="265">
        <v>1253</v>
      </c>
      <c r="L213" s="265">
        <v>435</v>
      </c>
      <c r="M213" s="266">
        <f t="shared" si="57"/>
        <v>0.74229857819905209</v>
      </c>
      <c r="N213" s="266">
        <f t="shared" si="58"/>
        <v>0.25770142180094785</v>
      </c>
      <c r="O213" s="265">
        <f t="shared" si="59"/>
        <v>1688</v>
      </c>
      <c r="P213" s="297">
        <v>19</v>
      </c>
      <c r="Q213" s="265">
        <f t="shared" si="55"/>
        <v>1707</v>
      </c>
      <c r="R213" s="269">
        <v>1367</v>
      </c>
      <c r="S213" s="298">
        <f t="shared" si="60"/>
        <v>1.5860759493670886</v>
      </c>
      <c r="T213" s="298">
        <f t="shared" si="61"/>
        <v>0.55063291139240511</v>
      </c>
      <c r="U213" s="201">
        <f t="shared" si="62"/>
        <v>2.160759493670886</v>
      </c>
      <c r="V213" s="197" t="s">
        <v>736</v>
      </c>
    </row>
    <row r="214" spans="1:48" ht="14.5" x14ac:dyDescent="0.35">
      <c r="A214" s="190" t="s">
        <v>160</v>
      </c>
      <c r="B214" s="191" t="s">
        <v>214</v>
      </c>
      <c r="C214" s="191" t="s">
        <v>14</v>
      </c>
      <c r="D214" s="191" t="s">
        <v>10</v>
      </c>
      <c r="E214" s="94" t="str">
        <f>HYPERLINK("https://youtube.com/ministerieBZ","https://youtube.com/ministerieBZ")</f>
        <v>https://youtube.com/ministerieBZ</v>
      </c>
      <c r="F214" s="249" t="s">
        <v>391</v>
      </c>
      <c r="G214" s="249" t="s">
        <v>12</v>
      </c>
      <c r="H214" s="265">
        <v>141</v>
      </c>
      <c r="I214" s="265">
        <v>526867</v>
      </c>
      <c r="J214" s="265">
        <f t="shared" si="56"/>
        <v>3736.6453900709221</v>
      </c>
      <c r="K214" s="265">
        <v>261</v>
      </c>
      <c r="L214" s="265">
        <v>23</v>
      </c>
      <c r="M214" s="266">
        <f t="shared" si="57"/>
        <v>0.91901408450704225</v>
      </c>
      <c r="N214" s="266">
        <f t="shared" si="58"/>
        <v>8.098591549295775E-2</v>
      </c>
      <c r="O214" s="265">
        <f t="shared" si="59"/>
        <v>284</v>
      </c>
      <c r="P214" s="297">
        <v>41</v>
      </c>
      <c r="Q214" s="265">
        <f t="shared" si="55"/>
        <v>325</v>
      </c>
      <c r="R214" s="269">
        <v>365</v>
      </c>
      <c r="S214" s="298">
        <f t="shared" si="60"/>
        <v>1.8510638297872339</v>
      </c>
      <c r="T214" s="298">
        <f t="shared" si="61"/>
        <v>0.16312056737588654</v>
      </c>
      <c r="U214" s="201">
        <f t="shared" si="62"/>
        <v>2.3049645390070923</v>
      </c>
      <c r="V214" s="200" t="s">
        <v>736</v>
      </c>
    </row>
    <row r="215" spans="1:48" ht="14.5" x14ac:dyDescent="0.35">
      <c r="A215" s="190" t="s">
        <v>160</v>
      </c>
      <c r="B215" s="191" t="s">
        <v>214</v>
      </c>
      <c r="C215" s="191" t="s">
        <v>14</v>
      </c>
      <c r="D215" s="191" t="s">
        <v>10</v>
      </c>
      <c r="E215" s="94" t="str">
        <f>HYPERLINK("https://youtube.com/DutchGovernment","https://youtube.com/DutchGovernment")</f>
        <v>https://youtube.com/DutchGovernment</v>
      </c>
      <c r="F215" s="249" t="s">
        <v>345</v>
      </c>
      <c r="G215" s="249" t="s">
        <v>6</v>
      </c>
      <c r="H215" s="265">
        <v>41</v>
      </c>
      <c r="I215" s="265">
        <v>50433</v>
      </c>
      <c r="J215" s="265">
        <f t="shared" si="56"/>
        <v>1230.0731707317073</v>
      </c>
      <c r="K215" s="265">
        <v>86</v>
      </c>
      <c r="L215" s="265">
        <v>9</v>
      </c>
      <c r="M215" s="266">
        <f t="shared" si="57"/>
        <v>0.90526315789473688</v>
      </c>
      <c r="N215" s="266">
        <f t="shared" si="58"/>
        <v>9.4736842105263161E-2</v>
      </c>
      <c r="O215" s="265">
        <f t="shared" si="59"/>
        <v>95</v>
      </c>
      <c r="P215" s="297">
        <v>0</v>
      </c>
      <c r="Q215" s="265">
        <f t="shared" si="55"/>
        <v>95</v>
      </c>
      <c r="R215" s="269">
        <v>113</v>
      </c>
      <c r="S215" s="298">
        <f t="shared" si="60"/>
        <v>2.0975609756097562</v>
      </c>
      <c r="T215" s="298">
        <f t="shared" si="61"/>
        <v>0.21951219512195122</v>
      </c>
      <c r="U215" s="201">
        <f t="shared" si="62"/>
        <v>2.3170731707317072</v>
      </c>
      <c r="V215" s="200" t="s">
        <v>736</v>
      </c>
    </row>
    <row r="216" spans="1:48" ht="14.5" x14ac:dyDescent="0.35">
      <c r="A216" s="190" t="s">
        <v>160</v>
      </c>
      <c r="B216" s="191" t="s">
        <v>217</v>
      </c>
      <c r="C216" s="191" t="s">
        <v>218</v>
      </c>
      <c r="D216" s="191" t="s">
        <v>10</v>
      </c>
      <c r="E216" s="94" t="str">
        <f>HYPERLINK("https://youtube.com/kongehuset","https://youtube.com/kongehuset")</f>
        <v>https://youtube.com/kongehuset</v>
      </c>
      <c r="F216" s="249" t="s">
        <v>351</v>
      </c>
      <c r="G216" s="249" t="s">
        <v>12</v>
      </c>
      <c r="H216" s="265">
        <v>296</v>
      </c>
      <c r="I216" s="265">
        <v>1937434</v>
      </c>
      <c r="J216" s="265">
        <f t="shared" si="56"/>
        <v>6545.385135135135</v>
      </c>
      <c r="K216" s="265">
        <v>4499</v>
      </c>
      <c r="L216" s="265">
        <v>247</v>
      </c>
      <c r="M216" s="266">
        <f t="shared" si="57"/>
        <v>0.94795617361989049</v>
      </c>
      <c r="N216" s="266">
        <f t="shared" si="58"/>
        <v>5.2043826380109563E-2</v>
      </c>
      <c r="O216" s="265">
        <f t="shared" si="59"/>
        <v>4746</v>
      </c>
      <c r="P216" s="297">
        <v>858</v>
      </c>
      <c r="Q216" s="265">
        <f t="shared" si="55"/>
        <v>5604</v>
      </c>
      <c r="R216" s="269" t="s">
        <v>740</v>
      </c>
      <c r="S216" s="298">
        <f t="shared" si="60"/>
        <v>15.199324324324325</v>
      </c>
      <c r="T216" s="298">
        <f t="shared" si="61"/>
        <v>0.83445945945945943</v>
      </c>
      <c r="U216" s="201">
        <f t="shared" si="62"/>
        <v>18.932432432432432</v>
      </c>
      <c r="V216" s="200" t="s">
        <v>736</v>
      </c>
    </row>
    <row r="217" spans="1:48" ht="14.5" x14ac:dyDescent="0.35">
      <c r="A217" s="196" t="s">
        <v>160</v>
      </c>
      <c r="B217" s="197" t="s">
        <v>217</v>
      </c>
      <c r="C217" s="197" t="s">
        <v>13</v>
      </c>
      <c r="D217" s="197" t="s">
        <v>10</v>
      </c>
      <c r="E217" s="93" t="s">
        <v>848</v>
      </c>
      <c r="F217" s="249" t="s">
        <v>332</v>
      </c>
      <c r="G217" s="249" t="s">
        <v>12</v>
      </c>
      <c r="H217" s="265">
        <v>126</v>
      </c>
      <c r="I217" s="265">
        <v>114720</v>
      </c>
      <c r="J217" s="265">
        <f t="shared" si="56"/>
        <v>910.47619047619048</v>
      </c>
      <c r="K217" s="265">
        <v>19</v>
      </c>
      <c r="L217" s="265">
        <v>4</v>
      </c>
      <c r="M217" s="266">
        <f t="shared" si="57"/>
        <v>0.82608695652173914</v>
      </c>
      <c r="N217" s="266">
        <f t="shared" si="58"/>
        <v>0.17391304347826086</v>
      </c>
      <c r="O217" s="265">
        <f t="shared" si="59"/>
        <v>23</v>
      </c>
      <c r="P217" s="297">
        <v>1</v>
      </c>
      <c r="Q217" s="265">
        <f t="shared" si="55"/>
        <v>24</v>
      </c>
      <c r="R217" s="269">
        <v>314</v>
      </c>
      <c r="S217" s="298">
        <f t="shared" si="60"/>
        <v>0.15079365079365079</v>
      </c>
      <c r="T217" s="298">
        <f t="shared" si="61"/>
        <v>3.1746031746031744E-2</v>
      </c>
      <c r="U217" s="201">
        <f t="shared" si="62"/>
        <v>0.19047619047619047</v>
      </c>
      <c r="V217" s="200" t="s">
        <v>736</v>
      </c>
    </row>
    <row r="218" spans="1:48" ht="14.5" x14ac:dyDescent="0.35">
      <c r="A218" s="190" t="s">
        <v>160</v>
      </c>
      <c r="B218" s="191" t="s">
        <v>219</v>
      </c>
      <c r="C218" s="191" t="s">
        <v>4</v>
      </c>
      <c r="D218" s="191" t="s">
        <v>5</v>
      </c>
      <c r="E218" s="93" t="s">
        <v>220</v>
      </c>
      <c r="F218" s="249" t="s">
        <v>502</v>
      </c>
      <c r="G218" s="249" t="s">
        <v>773</v>
      </c>
      <c r="H218" s="253">
        <v>87</v>
      </c>
      <c r="I218" s="265">
        <v>2956466</v>
      </c>
      <c r="J218" s="265">
        <f t="shared" si="56"/>
        <v>33982.367816091952</v>
      </c>
      <c r="K218" s="253">
        <v>26163</v>
      </c>
      <c r="L218" s="253">
        <v>9625</v>
      </c>
      <c r="M218" s="266">
        <f t="shared" si="57"/>
        <v>0.7310551022689169</v>
      </c>
      <c r="N218" s="266">
        <f t="shared" si="58"/>
        <v>0.26894489773108304</v>
      </c>
      <c r="O218" s="265">
        <f t="shared" si="59"/>
        <v>35788</v>
      </c>
      <c r="P218" s="303">
        <v>0</v>
      </c>
      <c r="Q218" s="265">
        <f t="shared" si="55"/>
        <v>35788</v>
      </c>
      <c r="R218" s="270">
        <v>5723</v>
      </c>
      <c r="S218" s="298">
        <f t="shared" si="60"/>
        <v>300.72413793103448</v>
      </c>
      <c r="T218" s="298">
        <f t="shared" si="61"/>
        <v>110.63218390804597</v>
      </c>
      <c r="U218" s="201">
        <f t="shared" si="62"/>
        <v>411.35632183908046</v>
      </c>
      <c r="V218" s="200" t="s">
        <v>736</v>
      </c>
    </row>
    <row r="219" spans="1:48" ht="14.5" x14ac:dyDescent="0.35">
      <c r="A219" s="190" t="s">
        <v>160</v>
      </c>
      <c r="B219" s="191" t="s">
        <v>219</v>
      </c>
      <c r="C219" s="191" t="s">
        <v>4</v>
      </c>
      <c r="D219" s="191" t="s">
        <v>5</v>
      </c>
      <c r="E219" s="93" t="s">
        <v>913</v>
      </c>
      <c r="F219" s="249" t="s">
        <v>912</v>
      </c>
      <c r="G219" s="249" t="s">
        <v>12</v>
      </c>
      <c r="H219" s="265">
        <v>115</v>
      </c>
      <c r="I219" s="265">
        <v>440963</v>
      </c>
      <c r="J219" s="265">
        <f t="shared" si="56"/>
        <v>3834.4608695652173</v>
      </c>
      <c r="K219" s="265">
        <v>4993</v>
      </c>
      <c r="L219" s="265">
        <v>615</v>
      </c>
      <c r="M219" s="266">
        <f t="shared" si="57"/>
        <v>0.89033523537803139</v>
      </c>
      <c r="N219" s="266">
        <f t="shared" si="58"/>
        <v>0.10966476462196861</v>
      </c>
      <c r="O219" s="265">
        <f t="shared" si="59"/>
        <v>5608</v>
      </c>
      <c r="P219" s="297">
        <v>972</v>
      </c>
      <c r="Q219" s="265">
        <f t="shared" si="55"/>
        <v>6580</v>
      </c>
      <c r="R219" s="270">
        <v>5723</v>
      </c>
      <c r="S219" s="298">
        <f t="shared" si="60"/>
        <v>43.417391304347824</v>
      </c>
      <c r="T219" s="298">
        <f t="shared" si="61"/>
        <v>5.3478260869565215</v>
      </c>
      <c r="U219" s="201">
        <f t="shared" si="62"/>
        <v>57.217391304347828</v>
      </c>
      <c r="V219" s="200" t="s">
        <v>736</v>
      </c>
    </row>
    <row r="220" spans="1:48" ht="14.5" x14ac:dyDescent="0.35">
      <c r="A220" s="190" t="s">
        <v>160</v>
      </c>
      <c r="B220" s="191" t="s">
        <v>219</v>
      </c>
      <c r="C220" s="191" t="s">
        <v>9</v>
      </c>
      <c r="D220" s="191" t="s">
        <v>10</v>
      </c>
      <c r="E220" s="94" t="str">
        <f>HYPERLINK("https://youtube.com/wwwprezydentpl","https://youtube.com/wwwprezydentpl")</f>
        <v>https://youtube.com/wwwprezydentpl</v>
      </c>
      <c r="F220" s="249" t="s">
        <v>385</v>
      </c>
      <c r="G220" s="249" t="s">
        <v>12</v>
      </c>
      <c r="H220" s="265">
        <v>1315</v>
      </c>
      <c r="I220" s="265">
        <v>3828186</v>
      </c>
      <c r="J220" s="265">
        <f t="shared" si="56"/>
        <v>2911.1680608365018</v>
      </c>
      <c r="K220" s="265">
        <v>917</v>
      </c>
      <c r="L220" s="265">
        <v>1749</v>
      </c>
      <c r="M220" s="266">
        <f t="shared" si="57"/>
        <v>0.34396099024756188</v>
      </c>
      <c r="N220" s="266">
        <f t="shared" si="58"/>
        <v>0.65603900975243812</v>
      </c>
      <c r="O220" s="265">
        <f t="shared" si="59"/>
        <v>2666</v>
      </c>
      <c r="P220" s="297">
        <v>680</v>
      </c>
      <c r="Q220" s="265">
        <f t="shared" si="55"/>
        <v>3346</v>
      </c>
      <c r="R220" s="269">
        <v>6509</v>
      </c>
      <c r="S220" s="298">
        <f t="shared" si="60"/>
        <v>0.69733840304182515</v>
      </c>
      <c r="T220" s="298">
        <f t="shared" si="61"/>
        <v>1.3300380228136881</v>
      </c>
      <c r="U220" s="201">
        <f t="shared" si="62"/>
        <v>2.5444866920152092</v>
      </c>
      <c r="V220" s="197" t="s">
        <v>736</v>
      </c>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row>
    <row r="221" spans="1:48" ht="14.5" x14ac:dyDescent="0.35">
      <c r="A221" s="190" t="s">
        <v>160</v>
      </c>
      <c r="B221" s="191" t="s">
        <v>219</v>
      </c>
      <c r="C221" s="191" t="s">
        <v>7</v>
      </c>
      <c r="D221" s="191" t="s">
        <v>5</v>
      </c>
      <c r="E221" s="93" t="s">
        <v>221</v>
      </c>
      <c r="F221" s="249" t="s">
        <v>503</v>
      </c>
      <c r="G221" s="249" t="s">
        <v>6</v>
      </c>
      <c r="H221" s="265">
        <v>31</v>
      </c>
      <c r="I221" s="265">
        <v>16590</v>
      </c>
      <c r="J221" s="265">
        <f t="shared" si="56"/>
        <v>535.16129032258061</v>
      </c>
      <c r="K221" s="265">
        <v>66</v>
      </c>
      <c r="L221" s="265">
        <v>34</v>
      </c>
      <c r="M221" s="266">
        <f t="shared" si="57"/>
        <v>0.66</v>
      </c>
      <c r="N221" s="266">
        <f t="shared" si="58"/>
        <v>0.34</v>
      </c>
      <c r="O221" s="265">
        <f t="shared" si="59"/>
        <v>100</v>
      </c>
      <c r="P221" s="297">
        <v>13</v>
      </c>
      <c r="Q221" s="265">
        <f t="shared" si="55"/>
        <v>113</v>
      </c>
      <c r="R221" s="270">
        <v>52</v>
      </c>
      <c r="S221" s="298">
        <f t="shared" si="60"/>
        <v>2.129032258064516</v>
      </c>
      <c r="T221" s="298">
        <f t="shared" si="61"/>
        <v>1.096774193548387</v>
      </c>
      <c r="U221" s="201">
        <f t="shared" si="62"/>
        <v>3.6451612903225805</v>
      </c>
      <c r="V221" s="200" t="s">
        <v>736</v>
      </c>
    </row>
    <row r="222" spans="1:48" ht="14.5" x14ac:dyDescent="0.35">
      <c r="A222" s="190" t="s">
        <v>160</v>
      </c>
      <c r="B222" s="191" t="s">
        <v>219</v>
      </c>
      <c r="C222" s="191" t="s">
        <v>13</v>
      </c>
      <c r="D222" s="191" t="s">
        <v>10</v>
      </c>
      <c r="E222" s="94" t="str">
        <f>HYPERLINK("https://youtube.com/KancelariaPremiera","https://youtube.com/KancelariaPremiera")</f>
        <v>https://youtube.com/KancelariaPremiera</v>
      </c>
      <c r="F222" s="249" t="s">
        <v>222</v>
      </c>
      <c r="G222" s="249" t="s">
        <v>12</v>
      </c>
      <c r="H222" s="265">
        <v>487</v>
      </c>
      <c r="I222" s="265">
        <v>3750663</v>
      </c>
      <c r="J222" s="265">
        <f t="shared" si="56"/>
        <v>7701.5667351129359</v>
      </c>
      <c r="K222" s="265">
        <v>9614</v>
      </c>
      <c r="L222" s="265">
        <v>19848</v>
      </c>
      <c r="M222" s="266">
        <f t="shared" si="57"/>
        <v>0.32631864774964359</v>
      </c>
      <c r="N222" s="266">
        <f t="shared" si="58"/>
        <v>0.67368135225035641</v>
      </c>
      <c r="O222" s="265">
        <f t="shared" si="59"/>
        <v>29462</v>
      </c>
      <c r="P222" s="297">
        <v>0</v>
      </c>
      <c r="Q222" s="265">
        <f t="shared" si="55"/>
        <v>29462</v>
      </c>
      <c r="R222" s="269">
        <v>4251</v>
      </c>
      <c r="S222" s="298">
        <f t="shared" si="60"/>
        <v>19.741273100616016</v>
      </c>
      <c r="T222" s="298">
        <f t="shared" si="61"/>
        <v>40.755646817248461</v>
      </c>
      <c r="U222" s="201">
        <f t="shared" si="62"/>
        <v>60.496919917864474</v>
      </c>
      <c r="V222" s="200" t="s">
        <v>736</v>
      </c>
    </row>
    <row r="223" spans="1:48" ht="14.5" x14ac:dyDescent="0.35">
      <c r="A223" s="190" t="s">
        <v>160</v>
      </c>
      <c r="B223" s="191" t="s">
        <v>219</v>
      </c>
      <c r="C223" s="191" t="s">
        <v>14</v>
      </c>
      <c r="D223" s="191" t="s">
        <v>10</v>
      </c>
      <c r="E223" s="94" t="str">
        <f>HYPERLINK("https://youtube.com/PolandMFA","https://youtube.com/PolandMFA")</f>
        <v>https://youtube.com/PolandMFA</v>
      </c>
      <c r="F223" s="249" t="s">
        <v>389</v>
      </c>
      <c r="G223" s="249" t="s">
        <v>12</v>
      </c>
      <c r="H223" s="265">
        <v>216</v>
      </c>
      <c r="I223" s="265">
        <v>1640327</v>
      </c>
      <c r="J223" s="265">
        <f t="shared" si="56"/>
        <v>7594.1064814814818</v>
      </c>
      <c r="K223" s="265">
        <v>7625</v>
      </c>
      <c r="L223" s="265">
        <v>650</v>
      </c>
      <c r="M223" s="266">
        <f t="shared" si="57"/>
        <v>0.9214501510574018</v>
      </c>
      <c r="N223" s="266">
        <f t="shared" si="58"/>
        <v>7.8549848942598186E-2</v>
      </c>
      <c r="O223" s="265">
        <f t="shared" si="59"/>
        <v>8275</v>
      </c>
      <c r="P223" s="297">
        <v>1235</v>
      </c>
      <c r="Q223" s="265">
        <f t="shared" si="55"/>
        <v>9510</v>
      </c>
      <c r="R223" s="270">
        <v>2779</v>
      </c>
      <c r="S223" s="298">
        <f t="shared" si="60"/>
        <v>35.300925925925924</v>
      </c>
      <c r="T223" s="298">
        <f t="shared" si="61"/>
        <v>3.0092592592592591</v>
      </c>
      <c r="U223" s="201">
        <f t="shared" si="62"/>
        <v>44.027777777777779</v>
      </c>
      <c r="V223" s="200" t="s">
        <v>736</v>
      </c>
    </row>
    <row r="224" spans="1:48" ht="14.5" x14ac:dyDescent="0.35">
      <c r="A224" s="190" t="s">
        <v>160</v>
      </c>
      <c r="B224" s="191" t="s">
        <v>223</v>
      </c>
      <c r="C224" s="191" t="s">
        <v>4</v>
      </c>
      <c r="D224" s="191" t="s">
        <v>5</v>
      </c>
      <c r="E224" s="93" t="s">
        <v>224</v>
      </c>
      <c r="F224" s="249" t="s">
        <v>563</v>
      </c>
      <c r="G224" s="249" t="s">
        <v>6</v>
      </c>
      <c r="H224" s="265">
        <v>2</v>
      </c>
      <c r="I224" s="265">
        <v>2088</v>
      </c>
      <c r="J224" s="265">
        <f t="shared" si="56"/>
        <v>1044</v>
      </c>
      <c r="K224" s="265">
        <v>9</v>
      </c>
      <c r="L224" s="265">
        <v>6</v>
      </c>
      <c r="M224" s="266">
        <f t="shared" si="57"/>
        <v>0.6</v>
      </c>
      <c r="N224" s="266">
        <f t="shared" si="58"/>
        <v>0.4</v>
      </c>
      <c r="O224" s="265">
        <f t="shared" si="59"/>
        <v>15</v>
      </c>
      <c r="P224" s="297">
        <v>0</v>
      </c>
      <c r="Q224" s="265">
        <f t="shared" si="55"/>
        <v>15</v>
      </c>
      <c r="R224" s="270">
        <v>5</v>
      </c>
      <c r="S224" s="298">
        <f t="shared" si="60"/>
        <v>4.5</v>
      </c>
      <c r="T224" s="298">
        <f t="shared" si="61"/>
        <v>3</v>
      </c>
      <c r="U224" s="201">
        <f t="shared" si="62"/>
        <v>7.5</v>
      </c>
      <c r="V224" s="197" t="s">
        <v>736</v>
      </c>
    </row>
    <row r="225" spans="1:59" ht="14.5" x14ac:dyDescent="0.35">
      <c r="A225" s="190" t="s">
        <v>160</v>
      </c>
      <c r="B225" s="191" t="s">
        <v>223</v>
      </c>
      <c r="C225" s="191" t="s">
        <v>9</v>
      </c>
      <c r="D225" s="191" t="s">
        <v>10</v>
      </c>
      <c r="E225" s="94" t="str">
        <f>HYPERLINK("https://youtube.com/PresidenciaRepublica","https://youtube.com/PresidenciaRepublica")</f>
        <v>https://youtube.com/PresidenciaRepublica</v>
      </c>
      <c r="F225" s="249" t="s">
        <v>504</v>
      </c>
      <c r="G225" s="249" t="s">
        <v>12</v>
      </c>
      <c r="H225" s="265">
        <v>116</v>
      </c>
      <c r="I225" s="265">
        <v>130574</v>
      </c>
      <c r="J225" s="265">
        <f t="shared" si="56"/>
        <v>1125.6379310344828</v>
      </c>
      <c r="K225" s="265">
        <v>408</v>
      </c>
      <c r="L225" s="265">
        <v>201</v>
      </c>
      <c r="M225" s="266">
        <f t="shared" si="57"/>
        <v>0.66995073891625612</v>
      </c>
      <c r="N225" s="266">
        <f t="shared" si="58"/>
        <v>0.33004926108374383</v>
      </c>
      <c r="O225" s="265">
        <f t="shared" si="59"/>
        <v>609</v>
      </c>
      <c r="P225" s="297">
        <v>5</v>
      </c>
      <c r="Q225" s="265">
        <f t="shared" si="55"/>
        <v>614</v>
      </c>
      <c r="R225" s="269">
        <v>645</v>
      </c>
      <c r="S225" s="298">
        <f t="shared" si="60"/>
        <v>3.5172413793103448</v>
      </c>
      <c r="T225" s="298">
        <f t="shared" si="61"/>
        <v>1.7327586206896552</v>
      </c>
      <c r="U225" s="201">
        <f t="shared" si="62"/>
        <v>5.2931034482758621</v>
      </c>
      <c r="V225" s="197" t="s">
        <v>736</v>
      </c>
    </row>
    <row r="226" spans="1:59" ht="14.5" x14ac:dyDescent="0.35">
      <c r="A226" s="190" t="s">
        <v>160</v>
      </c>
      <c r="B226" s="191" t="s">
        <v>225</v>
      </c>
      <c r="C226" s="191" t="s">
        <v>4</v>
      </c>
      <c r="D226" s="191" t="s">
        <v>5</v>
      </c>
      <c r="E226" s="93" t="s">
        <v>226</v>
      </c>
      <c r="F226" s="249" t="s">
        <v>505</v>
      </c>
      <c r="G226" s="249" t="s">
        <v>6</v>
      </c>
      <c r="H226" s="265">
        <v>45</v>
      </c>
      <c r="I226" s="265">
        <v>461831</v>
      </c>
      <c r="J226" s="265">
        <f t="shared" si="56"/>
        <v>10262.911111111111</v>
      </c>
      <c r="K226" s="265">
        <v>7492</v>
      </c>
      <c r="L226" s="265">
        <v>233</v>
      </c>
      <c r="M226" s="266">
        <f t="shared" si="57"/>
        <v>0.96983818770226538</v>
      </c>
      <c r="N226" s="266">
        <f t="shared" si="58"/>
        <v>3.0161812297734628E-2</v>
      </c>
      <c r="O226" s="265">
        <f t="shared" si="59"/>
        <v>7725</v>
      </c>
      <c r="P226" s="297">
        <v>731</v>
      </c>
      <c r="Q226" s="265">
        <f t="shared" si="55"/>
        <v>8456</v>
      </c>
      <c r="R226" s="270">
        <v>2404</v>
      </c>
      <c r="S226" s="298">
        <f t="shared" si="60"/>
        <v>166.48888888888888</v>
      </c>
      <c r="T226" s="298">
        <f t="shared" si="61"/>
        <v>5.177777777777778</v>
      </c>
      <c r="U226" s="201">
        <f t="shared" si="62"/>
        <v>187.9111111111111</v>
      </c>
      <c r="V226" s="200" t="s">
        <v>736</v>
      </c>
    </row>
    <row r="227" spans="1:59" ht="14.5" x14ac:dyDescent="0.35">
      <c r="A227" s="198" t="s">
        <v>160</v>
      </c>
      <c r="B227" s="193" t="s">
        <v>225</v>
      </c>
      <c r="C227" s="193" t="s">
        <v>13</v>
      </c>
      <c r="D227" s="193" t="s">
        <v>10</v>
      </c>
      <c r="E227" s="94" t="str">
        <f>HYPERLINK("https://youtube.com/guvernulromaniei","https://youtube.com/guvernulromaniei")</f>
        <v>https://youtube.com/guvernulromaniei</v>
      </c>
      <c r="F227" s="249" t="s">
        <v>506</v>
      </c>
      <c r="G227" s="249" t="s">
        <v>12</v>
      </c>
      <c r="H227" s="265">
        <v>1554</v>
      </c>
      <c r="I227" s="265">
        <v>481203</v>
      </c>
      <c r="J227" s="265">
        <f t="shared" si="56"/>
        <v>309.65444015444018</v>
      </c>
      <c r="K227" s="265">
        <v>4399</v>
      </c>
      <c r="L227" s="265">
        <v>762</v>
      </c>
      <c r="M227" s="266">
        <f t="shared" si="57"/>
        <v>0.85235419492346443</v>
      </c>
      <c r="N227" s="266">
        <f t="shared" si="58"/>
        <v>0.14764580507653555</v>
      </c>
      <c r="O227" s="265">
        <f t="shared" si="59"/>
        <v>5161</v>
      </c>
      <c r="P227" s="297">
        <v>1021</v>
      </c>
      <c r="Q227" s="265">
        <f t="shared" si="55"/>
        <v>6182</v>
      </c>
      <c r="R227" s="269">
        <v>2</v>
      </c>
      <c r="S227" s="298">
        <f t="shared" si="60"/>
        <v>2.8307593307593306</v>
      </c>
      <c r="T227" s="298">
        <f t="shared" si="61"/>
        <v>0.49034749034749037</v>
      </c>
      <c r="U227" s="201">
        <f t="shared" si="62"/>
        <v>3.9781209781209781</v>
      </c>
      <c r="V227" s="200" t="s">
        <v>736</v>
      </c>
    </row>
    <row r="228" spans="1:59" ht="14.5" x14ac:dyDescent="0.35">
      <c r="A228" s="190" t="s">
        <v>160</v>
      </c>
      <c r="B228" s="191" t="s">
        <v>225</v>
      </c>
      <c r="C228" s="191" t="s">
        <v>14</v>
      </c>
      <c r="D228" s="191" t="s">
        <v>10</v>
      </c>
      <c r="E228" s="94" t="str">
        <f>HYPERLINK("https://youtube.com/MAERomania","https://youtube.com/MAERomania")</f>
        <v>https://youtube.com/MAERomania</v>
      </c>
      <c r="F228" s="249" t="s">
        <v>392</v>
      </c>
      <c r="G228" s="249" t="s">
        <v>12</v>
      </c>
      <c r="H228" s="265">
        <v>514</v>
      </c>
      <c r="I228" s="265">
        <v>298448</v>
      </c>
      <c r="J228" s="265">
        <f t="shared" si="56"/>
        <v>580.63813229571986</v>
      </c>
      <c r="K228" s="265">
        <v>922</v>
      </c>
      <c r="L228" s="265">
        <v>109</v>
      </c>
      <c r="M228" s="266">
        <f t="shared" si="57"/>
        <v>0.89427740058195926</v>
      </c>
      <c r="N228" s="266">
        <f t="shared" si="58"/>
        <v>0.10572259941804074</v>
      </c>
      <c r="O228" s="265">
        <f t="shared" si="59"/>
        <v>1031</v>
      </c>
      <c r="P228" s="297">
        <v>150</v>
      </c>
      <c r="Q228" s="265">
        <f t="shared" si="55"/>
        <v>1181</v>
      </c>
      <c r="R228" s="269">
        <v>613</v>
      </c>
      <c r="S228" s="298">
        <f t="shared" si="60"/>
        <v>1.7937743190661479</v>
      </c>
      <c r="T228" s="298">
        <f t="shared" si="61"/>
        <v>0.21206225680933852</v>
      </c>
      <c r="U228" s="201">
        <f t="shared" si="62"/>
        <v>2.2976653696498053</v>
      </c>
      <c r="V228" s="200" t="s">
        <v>736</v>
      </c>
    </row>
    <row r="229" spans="1:59" s="32" customFormat="1" ht="14.5" x14ac:dyDescent="0.35">
      <c r="A229" s="190" t="s">
        <v>160</v>
      </c>
      <c r="B229" s="191" t="s">
        <v>227</v>
      </c>
      <c r="C229" s="191" t="s">
        <v>9</v>
      </c>
      <c r="D229" s="191" t="s">
        <v>10</v>
      </c>
      <c r="E229" s="94" t="str">
        <f>HYPERLINK("https://youtube.com/kremlin","https://youtube.com/kremlin")</f>
        <v>https://youtube.com/kremlin</v>
      </c>
      <c r="F229" s="249" t="s">
        <v>346</v>
      </c>
      <c r="G229" s="249" t="s">
        <v>12</v>
      </c>
      <c r="H229" s="265">
        <v>622</v>
      </c>
      <c r="I229" s="265">
        <v>4930693</v>
      </c>
      <c r="J229" s="265">
        <f t="shared" si="56"/>
        <v>7927.1591639871385</v>
      </c>
      <c r="K229" s="265">
        <v>16355</v>
      </c>
      <c r="L229" s="265">
        <v>13225</v>
      </c>
      <c r="M229" s="266">
        <f t="shared" si="57"/>
        <v>0.55290736984448952</v>
      </c>
      <c r="N229" s="266">
        <f t="shared" si="58"/>
        <v>0.44709263015551048</v>
      </c>
      <c r="O229" s="265">
        <f t="shared" si="59"/>
        <v>29580</v>
      </c>
      <c r="P229" s="297">
        <v>17</v>
      </c>
      <c r="Q229" s="265">
        <f t="shared" si="55"/>
        <v>29597</v>
      </c>
      <c r="R229" s="270">
        <v>28231</v>
      </c>
      <c r="S229" s="298">
        <f t="shared" si="60"/>
        <v>26.294212218649516</v>
      </c>
      <c r="T229" s="298">
        <f t="shared" si="61"/>
        <v>21.262057877813504</v>
      </c>
      <c r="U229" s="201">
        <f t="shared" si="62"/>
        <v>47.583601286173632</v>
      </c>
      <c r="V229" s="200" t="s">
        <v>736</v>
      </c>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row>
    <row r="230" spans="1:59" ht="14.5" x14ac:dyDescent="0.35">
      <c r="A230" s="190" t="s">
        <v>160</v>
      </c>
      <c r="B230" s="191" t="s">
        <v>227</v>
      </c>
      <c r="C230" s="191" t="s">
        <v>13</v>
      </c>
      <c r="D230" s="191" t="s">
        <v>10</v>
      </c>
      <c r="E230" s="95" t="s">
        <v>459</v>
      </c>
      <c r="F230" s="249" t="s">
        <v>572</v>
      </c>
      <c r="G230" s="249" t="s">
        <v>12</v>
      </c>
      <c r="H230" s="265">
        <v>259</v>
      </c>
      <c r="I230" s="265">
        <v>2050088</v>
      </c>
      <c r="J230" s="265">
        <f t="shared" si="56"/>
        <v>7915.3976833976831</v>
      </c>
      <c r="K230" s="265">
        <v>19114</v>
      </c>
      <c r="L230" s="265">
        <v>8160</v>
      </c>
      <c r="M230" s="266">
        <f t="shared" si="57"/>
        <v>0.70081396201510593</v>
      </c>
      <c r="N230" s="266">
        <f t="shared" si="58"/>
        <v>0.29918603798489402</v>
      </c>
      <c r="O230" s="265">
        <f t="shared" si="59"/>
        <v>27274</v>
      </c>
      <c r="P230" s="297">
        <v>0</v>
      </c>
      <c r="Q230" s="265">
        <f t="shared" si="55"/>
        <v>27274</v>
      </c>
      <c r="R230" s="269" t="s">
        <v>740</v>
      </c>
      <c r="S230" s="298">
        <f t="shared" si="60"/>
        <v>73.799227799227793</v>
      </c>
      <c r="T230" s="298">
        <f t="shared" si="61"/>
        <v>31.505791505791507</v>
      </c>
      <c r="U230" s="201">
        <f t="shared" si="62"/>
        <v>105.3050193050193</v>
      </c>
      <c r="V230" s="200" t="s">
        <v>736</v>
      </c>
    </row>
    <row r="231" spans="1:59" ht="14.5" x14ac:dyDescent="0.35">
      <c r="A231" s="190" t="s">
        <v>160</v>
      </c>
      <c r="B231" s="191" t="s">
        <v>227</v>
      </c>
      <c r="C231" s="191" t="s">
        <v>14</v>
      </c>
      <c r="D231" s="191" t="s">
        <v>10</v>
      </c>
      <c r="E231" s="94" t="str">
        <f>HYPERLINK("https://youtube.com/midrftube","https://youtube.com/midrftube")</f>
        <v>https://youtube.com/midrftube</v>
      </c>
      <c r="F231" s="249" t="s">
        <v>413</v>
      </c>
      <c r="G231" s="249" t="s">
        <v>12</v>
      </c>
      <c r="H231" s="265">
        <v>1839</v>
      </c>
      <c r="I231" s="265">
        <v>3018806</v>
      </c>
      <c r="J231" s="265">
        <f t="shared" si="56"/>
        <v>1641.5475802066339</v>
      </c>
      <c r="K231" s="265">
        <v>29037</v>
      </c>
      <c r="L231" s="265">
        <v>2573</v>
      </c>
      <c r="M231" s="266">
        <f t="shared" si="57"/>
        <v>0.91860170832015187</v>
      </c>
      <c r="N231" s="266">
        <f t="shared" si="58"/>
        <v>8.1398291679848148E-2</v>
      </c>
      <c r="O231" s="265">
        <f t="shared" si="59"/>
        <v>31610</v>
      </c>
      <c r="P231" s="297">
        <v>5722</v>
      </c>
      <c r="Q231" s="265">
        <f t="shared" si="55"/>
        <v>37332</v>
      </c>
      <c r="R231" s="269">
        <v>9468</v>
      </c>
      <c r="S231" s="298">
        <f t="shared" si="60"/>
        <v>15.789559543230016</v>
      </c>
      <c r="T231" s="298">
        <f t="shared" si="61"/>
        <v>1.3991299619358346</v>
      </c>
      <c r="U231" s="201">
        <f t="shared" si="62"/>
        <v>20.30016313213703</v>
      </c>
      <c r="V231" s="200" t="s">
        <v>736</v>
      </c>
    </row>
    <row r="232" spans="1:59" ht="14.5" x14ac:dyDescent="0.35">
      <c r="A232" s="190" t="s">
        <v>160</v>
      </c>
      <c r="B232" s="191" t="s">
        <v>229</v>
      </c>
      <c r="C232" s="191" t="s">
        <v>7</v>
      </c>
      <c r="D232" s="191" t="s">
        <v>5</v>
      </c>
      <c r="E232" s="93" t="s">
        <v>230</v>
      </c>
      <c r="F232" s="249" t="s">
        <v>586</v>
      </c>
      <c r="G232" s="249" t="s">
        <v>12</v>
      </c>
      <c r="H232" s="265">
        <v>366</v>
      </c>
      <c r="I232" s="265">
        <v>779915</v>
      </c>
      <c r="J232" s="265">
        <f t="shared" si="56"/>
        <v>2130.9153005464482</v>
      </c>
      <c r="K232" s="265">
        <v>110767</v>
      </c>
      <c r="L232" s="265">
        <v>3239</v>
      </c>
      <c r="M232" s="266">
        <f t="shared" si="57"/>
        <v>0.97158921460274017</v>
      </c>
      <c r="N232" s="266">
        <f t="shared" si="58"/>
        <v>2.8410785397259792E-2</v>
      </c>
      <c r="O232" s="265">
        <f t="shared" si="59"/>
        <v>114006</v>
      </c>
      <c r="P232" s="297">
        <v>0</v>
      </c>
      <c r="Q232" s="265">
        <f t="shared" si="55"/>
        <v>114006</v>
      </c>
      <c r="R232" s="270">
        <v>2693</v>
      </c>
      <c r="S232" s="298">
        <f t="shared" si="60"/>
        <v>302.64207650273227</v>
      </c>
      <c r="T232" s="298">
        <f t="shared" si="61"/>
        <v>8.8497267759562845</v>
      </c>
      <c r="U232" s="201">
        <f t="shared" si="62"/>
        <v>311.49180327868851</v>
      </c>
      <c r="V232" s="197" t="s">
        <v>736</v>
      </c>
    </row>
    <row r="233" spans="1:59" ht="14.5" x14ac:dyDescent="0.35">
      <c r="A233" s="190" t="s">
        <v>160</v>
      </c>
      <c r="B233" s="191" t="s">
        <v>231</v>
      </c>
      <c r="C233" s="191" t="s">
        <v>4</v>
      </c>
      <c r="D233" s="191" t="s">
        <v>5</v>
      </c>
      <c r="E233" s="93" t="s">
        <v>460</v>
      </c>
      <c r="F233" s="249" t="s">
        <v>507</v>
      </c>
      <c r="G233" s="249" t="s">
        <v>12</v>
      </c>
      <c r="H233" s="265">
        <v>47</v>
      </c>
      <c r="I233" s="265">
        <v>668288</v>
      </c>
      <c r="J233" s="265">
        <f t="shared" si="56"/>
        <v>14218.893617021276</v>
      </c>
      <c r="K233" s="265">
        <v>2563</v>
      </c>
      <c r="L233" s="265">
        <v>923</v>
      </c>
      <c r="M233" s="266">
        <f t="shared" si="57"/>
        <v>0.73522662076878942</v>
      </c>
      <c r="N233" s="266">
        <f t="shared" si="58"/>
        <v>0.26477337923121058</v>
      </c>
      <c r="O233" s="265">
        <f t="shared" si="59"/>
        <v>3486</v>
      </c>
      <c r="P233" s="297">
        <v>490</v>
      </c>
      <c r="Q233" s="265">
        <f t="shared" si="55"/>
        <v>3976</v>
      </c>
      <c r="R233" s="270">
        <v>1259</v>
      </c>
      <c r="S233" s="298">
        <f t="shared" si="60"/>
        <v>54.531914893617021</v>
      </c>
      <c r="T233" s="298">
        <f t="shared" si="61"/>
        <v>19.638297872340427</v>
      </c>
      <c r="U233" s="201">
        <f t="shared" si="62"/>
        <v>84.59574468085107</v>
      </c>
      <c r="V233" s="200" t="s">
        <v>736</v>
      </c>
    </row>
    <row r="234" spans="1:59" ht="14.5" x14ac:dyDescent="0.35">
      <c r="A234" s="190" t="s">
        <v>160</v>
      </c>
      <c r="B234" s="191" t="s">
        <v>231</v>
      </c>
      <c r="C234" s="191" t="s">
        <v>7</v>
      </c>
      <c r="D234" s="191" t="s">
        <v>5</v>
      </c>
      <c r="E234" s="93" t="s">
        <v>232</v>
      </c>
      <c r="F234" s="249" t="s">
        <v>601</v>
      </c>
      <c r="G234" s="249" t="s">
        <v>6</v>
      </c>
      <c r="H234" s="265">
        <v>41</v>
      </c>
      <c r="I234" s="265">
        <v>828039</v>
      </c>
      <c r="J234" s="265">
        <f t="shared" si="56"/>
        <v>20196.073170731706</v>
      </c>
      <c r="K234" s="265">
        <v>395</v>
      </c>
      <c r="L234" s="265">
        <v>5326</v>
      </c>
      <c r="M234" s="266">
        <f t="shared" si="57"/>
        <v>6.9043873448697779E-2</v>
      </c>
      <c r="N234" s="266">
        <f t="shared" si="58"/>
        <v>0.93095612655130222</v>
      </c>
      <c r="O234" s="265">
        <f t="shared" si="59"/>
        <v>5721</v>
      </c>
      <c r="P234" s="297">
        <v>580</v>
      </c>
      <c r="Q234" s="265">
        <f t="shared" si="55"/>
        <v>6301</v>
      </c>
      <c r="R234" s="270" t="s">
        <v>740</v>
      </c>
      <c r="S234" s="298">
        <f t="shared" si="60"/>
        <v>9.6341463414634152</v>
      </c>
      <c r="T234" s="298">
        <f t="shared" si="61"/>
        <v>129.90243902439025</v>
      </c>
      <c r="U234" s="201">
        <f t="shared" si="62"/>
        <v>153.6829268292683</v>
      </c>
      <c r="V234" s="200" t="s">
        <v>736</v>
      </c>
    </row>
    <row r="235" spans="1:59" ht="14.5" x14ac:dyDescent="0.35">
      <c r="A235" s="190" t="s">
        <v>160</v>
      </c>
      <c r="B235" s="191" t="s">
        <v>231</v>
      </c>
      <c r="C235" s="191" t="s">
        <v>14</v>
      </c>
      <c r="D235" s="191" t="s">
        <v>10</v>
      </c>
      <c r="E235" s="94" t="str">
        <f>HYPERLINK("https://youtube.com/mzvsr","https://youtube.com/mzvsr")</f>
        <v>https://youtube.com/mzvsr</v>
      </c>
      <c r="F235" s="249" t="s">
        <v>393</v>
      </c>
      <c r="G235" s="249" t="s">
        <v>12</v>
      </c>
      <c r="H235" s="265">
        <v>273</v>
      </c>
      <c r="I235" s="265">
        <v>51837</v>
      </c>
      <c r="J235" s="265">
        <f t="shared" si="56"/>
        <v>189.87912087912088</v>
      </c>
      <c r="K235" s="265">
        <v>257</v>
      </c>
      <c r="L235" s="265">
        <v>73</v>
      </c>
      <c r="M235" s="266">
        <f t="shared" si="57"/>
        <v>0.77878787878787881</v>
      </c>
      <c r="N235" s="266">
        <f t="shared" si="58"/>
        <v>0.22121212121212122</v>
      </c>
      <c r="O235" s="265">
        <f t="shared" si="59"/>
        <v>330</v>
      </c>
      <c r="P235" s="297">
        <v>14</v>
      </c>
      <c r="Q235" s="265">
        <f t="shared" si="55"/>
        <v>344</v>
      </c>
      <c r="R235" s="269">
        <v>119</v>
      </c>
      <c r="S235" s="298">
        <f t="shared" si="60"/>
        <v>0.94139194139194138</v>
      </c>
      <c r="T235" s="298">
        <f t="shared" si="61"/>
        <v>0.26739926739926739</v>
      </c>
      <c r="U235" s="201">
        <f t="shared" si="62"/>
        <v>1.26007326007326</v>
      </c>
      <c r="V235" s="200" t="s">
        <v>736</v>
      </c>
    </row>
    <row r="236" spans="1:59" ht="14.5" x14ac:dyDescent="0.35">
      <c r="A236" s="190" t="s">
        <v>160</v>
      </c>
      <c r="B236" s="191" t="s">
        <v>233</v>
      </c>
      <c r="C236" s="191" t="s">
        <v>4</v>
      </c>
      <c r="D236" s="191" t="s">
        <v>5</v>
      </c>
      <c r="E236" s="93" t="s">
        <v>234</v>
      </c>
      <c r="F236" s="249" t="s">
        <v>552</v>
      </c>
      <c r="G236" s="249" t="s">
        <v>6</v>
      </c>
      <c r="H236" s="265">
        <v>1</v>
      </c>
      <c r="I236" s="265">
        <v>373</v>
      </c>
      <c r="J236" s="265">
        <f t="shared" si="56"/>
        <v>373</v>
      </c>
      <c r="K236" s="265">
        <v>2</v>
      </c>
      <c r="L236" s="265">
        <v>1</v>
      </c>
      <c r="M236" s="266">
        <f t="shared" si="57"/>
        <v>0.66666666666666663</v>
      </c>
      <c r="N236" s="266">
        <f t="shared" si="58"/>
        <v>0.33333333333333331</v>
      </c>
      <c r="O236" s="265">
        <f t="shared" si="59"/>
        <v>3</v>
      </c>
      <c r="P236" s="297">
        <v>2</v>
      </c>
      <c r="Q236" s="265">
        <f t="shared" si="55"/>
        <v>5</v>
      </c>
      <c r="R236" s="270">
        <v>1</v>
      </c>
      <c r="S236" s="298">
        <f t="shared" si="60"/>
        <v>2</v>
      </c>
      <c r="T236" s="298">
        <f t="shared" si="61"/>
        <v>1</v>
      </c>
      <c r="U236" s="201">
        <f t="shared" si="62"/>
        <v>5</v>
      </c>
      <c r="V236" s="200" t="s">
        <v>736</v>
      </c>
    </row>
    <row r="237" spans="1:59" ht="14.5" x14ac:dyDescent="0.35">
      <c r="A237" s="196" t="s">
        <v>160</v>
      </c>
      <c r="B237" s="197" t="s">
        <v>233</v>
      </c>
      <c r="C237" s="197" t="s">
        <v>14</v>
      </c>
      <c r="D237" s="197" t="s">
        <v>10</v>
      </c>
      <c r="E237" s="94" t="str">
        <f>HYPERLINK("https://youtube.com/channel/UCQr43X77Pvbyl3bsO6xjFmA","https://youtube.com/channel/UCQr43X77Pvbyl3bsO6xjFmA")</f>
        <v>https://youtube.com/channel/UCQr43X77Pvbyl3bsO6xjFmA</v>
      </c>
      <c r="F237" s="249" t="s">
        <v>397</v>
      </c>
      <c r="G237" s="249" t="s">
        <v>12</v>
      </c>
      <c r="H237" s="265">
        <v>24</v>
      </c>
      <c r="I237" s="265">
        <v>2074</v>
      </c>
      <c r="J237" s="265">
        <f t="shared" si="56"/>
        <v>86.416666666666671</v>
      </c>
      <c r="K237" s="265">
        <v>19</v>
      </c>
      <c r="L237" s="265">
        <v>1</v>
      </c>
      <c r="M237" s="266">
        <f t="shared" si="57"/>
        <v>0.95</v>
      </c>
      <c r="N237" s="266">
        <f t="shared" si="58"/>
        <v>0.05</v>
      </c>
      <c r="O237" s="265">
        <f t="shared" si="59"/>
        <v>20</v>
      </c>
      <c r="P237" s="297">
        <v>2</v>
      </c>
      <c r="Q237" s="265">
        <f t="shared" si="55"/>
        <v>22</v>
      </c>
      <c r="R237" s="269">
        <v>5</v>
      </c>
      <c r="S237" s="298">
        <f t="shared" si="60"/>
        <v>0.79166666666666663</v>
      </c>
      <c r="T237" s="298">
        <f t="shared" si="61"/>
        <v>4.1666666666666664E-2</v>
      </c>
      <c r="U237" s="201">
        <f t="shared" si="62"/>
        <v>0.91666666666666663</v>
      </c>
      <c r="V237" s="200" t="s">
        <v>736</v>
      </c>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row>
    <row r="238" spans="1:59" ht="14.5" x14ac:dyDescent="0.35">
      <c r="A238" s="190" t="s">
        <v>160</v>
      </c>
      <c r="B238" s="191" t="s">
        <v>235</v>
      </c>
      <c r="C238" s="191" t="s">
        <v>7</v>
      </c>
      <c r="D238" s="191" t="s">
        <v>5</v>
      </c>
      <c r="E238" s="93" t="s">
        <v>237</v>
      </c>
      <c r="F238" s="249" t="s">
        <v>559</v>
      </c>
      <c r="G238" s="249" t="s">
        <v>12</v>
      </c>
      <c r="H238" s="265">
        <v>76</v>
      </c>
      <c r="I238" s="265">
        <v>50375</v>
      </c>
      <c r="J238" s="265">
        <f t="shared" si="56"/>
        <v>662.82894736842104</v>
      </c>
      <c r="K238" s="265">
        <v>534</v>
      </c>
      <c r="L238" s="265">
        <v>163</v>
      </c>
      <c r="M238" s="266">
        <f t="shared" si="57"/>
        <v>0.76614060258249639</v>
      </c>
      <c r="N238" s="266">
        <f t="shared" si="58"/>
        <v>0.23385939741750358</v>
      </c>
      <c r="O238" s="265">
        <f t="shared" si="59"/>
        <v>697</v>
      </c>
      <c r="P238" s="297">
        <v>77</v>
      </c>
      <c r="Q238" s="265">
        <f t="shared" si="55"/>
        <v>774</v>
      </c>
      <c r="R238" s="270">
        <v>949</v>
      </c>
      <c r="S238" s="298">
        <f t="shared" si="60"/>
        <v>7.0263157894736841</v>
      </c>
      <c r="T238" s="298">
        <f t="shared" si="61"/>
        <v>2.1447368421052633</v>
      </c>
      <c r="U238" s="201">
        <f t="shared" si="62"/>
        <v>10.184210526315789</v>
      </c>
      <c r="V238" s="200" t="s">
        <v>736</v>
      </c>
      <c r="AX238" s="32"/>
      <c r="AY238" s="32"/>
      <c r="AZ238" s="32"/>
      <c r="BA238" s="32"/>
      <c r="BB238" s="32"/>
      <c r="BC238" s="32"/>
      <c r="BD238" s="32"/>
      <c r="BE238" s="32"/>
      <c r="BF238" s="32"/>
      <c r="BG238" s="32"/>
    </row>
    <row r="239" spans="1:59" ht="14.5" x14ac:dyDescent="0.35">
      <c r="A239" s="190" t="s">
        <v>160</v>
      </c>
      <c r="B239" s="191" t="s">
        <v>235</v>
      </c>
      <c r="C239" s="191" t="s">
        <v>13</v>
      </c>
      <c r="D239" s="191" t="s">
        <v>10</v>
      </c>
      <c r="E239" s="94" t="str">
        <f>HYPERLINK("https://youtube.com/lamoncloa","https://youtube.com/lamoncloa")</f>
        <v>https://youtube.com/lamoncloa</v>
      </c>
      <c r="F239" s="249" t="s">
        <v>508</v>
      </c>
      <c r="G239" s="249" t="s">
        <v>12</v>
      </c>
      <c r="H239" s="265">
        <v>1132</v>
      </c>
      <c r="I239" s="265">
        <v>448702</v>
      </c>
      <c r="J239" s="265">
        <f t="shared" si="56"/>
        <v>396.3798586572438</v>
      </c>
      <c r="K239" s="265">
        <v>2712</v>
      </c>
      <c r="L239" s="265">
        <v>1495</v>
      </c>
      <c r="M239" s="266">
        <f t="shared" si="57"/>
        <v>0.64463988590444499</v>
      </c>
      <c r="N239" s="266">
        <f t="shared" si="58"/>
        <v>0.35536011409555501</v>
      </c>
      <c r="O239" s="265">
        <f t="shared" si="59"/>
        <v>4207</v>
      </c>
      <c r="P239" s="297">
        <v>714</v>
      </c>
      <c r="Q239" s="265">
        <f t="shared" si="55"/>
        <v>4921</v>
      </c>
      <c r="R239" s="269">
        <v>1716</v>
      </c>
      <c r="S239" s="298">
        <f t="shared" si="60"/>
        <v>2.3957597173144878</v>
      </c>
      <c r="T239" s="298">
        <f t="shared" si="61"/>
        <v>1.3206713780918728</v>
      </c>
      <c r="U239" s="201">
        <f t="shared" si="62"/>
        <v>4.3471731448763249</v>
      </c>
      <c r="V239" s="200" t="s">
        <v>736</v>
      </c>
    </row>
    <row r="240" spans="1:59" ht="14.5" x14ac:dyDescent="0.35">
      <c r="A240" s="190" t="s">
        <v>160</v>
      </c>
      <c r="B240" s="191" t="s">
        <v>235</v>
      </c>
      <c r="C240" s="191" t="s">
        <v>14</v>
      </c>
      <c r="D240" s="191" t="s">
        <v>10</v>
      </c>
      <c r="E240" s="94" t="str">
        <f>HYPERLINK("https://youtube.com/canalmaectv","https://youtube.com/canalmaectv")</f>
        <v>https://youtube.com/canalmaectv</v>
      </c>
      <c r="F240" s="249" t="s">
        <v>620</v>
      </c>
      <c r="G240" s="249" t="s">
        <v>12</v>
      </c>
      <c r="H240" s="265">
        <v>283</v>
      </c>
      <c r="I240" s="265">
        <v>111016</v>
      </c>
      <c r="J240" s="265">
        <f t="shared" si="56"/>
        <v>392.28268551236749</v>
      </c>
      <c r="K240" s="265">
        <v>463</v>
      </c>
      <c r="L240" s="265">
        <v>18</v>
      </c>
      <c r="M240" s="266">
        <f t="shared" si="57"/>
        <v>0.96257796257796258</v>
      </c>
      <c r="N240" s="266">
        <f t="shared" si="58"/>
        <v>3.7422037422037424E-2</v>
      </c>
      <c r="O240" s="265">
        <f t="shared" si="59"/>
        <v>481</v>
      </c>
      <c r="P240" s="297">
        <v>37</v>
      </c>
      <c r="Q240" s="265">
        <f t="shared" si="55"/>
        <v>518</v>
      </c>
      <c r="R240" s="269">
        <v>993</v>
      </c>
      <c r="S240" s="298">
        <f t="shared" si="60"/>
        <v>1.6360424028268552</v>
      </c>
      <c r="T240" s="298">
        <f t="shared" si="61"/>
        <v>6.3604240282685506E-2</v>
      </c>
      <c r="U240" s="201">
        <f t="shared" si="62"/>
        <v>1.8303886925795052</v>
      </c>
      <c r="V240" s="200" t="s">
        <v>736</v>
      </c>
    </row>
    <row r="241" spans="1:59" ht="14.5" x14ac:dyDescent="0.35">
      <c r="A241" s="190" t="s">
        <v>160</v>
      </c>
      <c r="B241" s="191" t="s">
        <v>238</v>
      </c>
      <c r="C241" s="191" t="s">
        <v>236</v>
      </c>
      <c r="D241" s="191" t="s">
        <v>10</v>
      </c>
      <c r="E241" s="99" t="s">
        <v>461</v>
      </c>
      <c r="F241" s="249" t="s">
        <v>821</v>
      </c>
      <c r="G241" s="194" t="s">
        <v>12</v>
      </c>
      <c r="H241" s="265">
        <v>103</v>
      </c>
      <c r="I241" s="265">
        <v>5530990</v>
      </c>
      <c r="J241" s="265">
        <f t="shared" si="56"/>
        <v>53698.932038834952</v>
      </c>
      <c r="K241" s="265">
        <v>13714</v>
      </c>
      <c r="L241" s="265">
        <v>1380</v>
      </c>
      <c r="M241" s="266">
        <f t="shared" si="57"/>
        <v>0.90857294289121504</v>
      </c>
      <c r="N241" s="266">
        <f t="shared" si="58"/>
        <v>9.1427057108784945E-2</v>
      </c>
      <c r="O241" s="265">
        <f t="shared" si="59"/>
        <v>15094</v>
      </c>
      <c r="P241" s="297">
        <v>0</v>
      </c>
      <c r="Q241" s="265">
        <f t="shared" si="55"/>
        <v>15094</v>
      </c>
      <c r="R241" s="299" t="s">
        <v>740</v>
      </c>
      <c r="S241" s="298">
        <f t="shared" si="60"/>
        <v>133.14563106796118</v>
      </c>
      <c r="T241" s="298">
        <f t="shared" si="61"/>
        <v>13.398058252427184</v>
      </c>
      <c r="U241" s="201">
        <f t="shared" si="62"/>
        <v>146.54368932038835</v>
      </c>
      <c r="V241" s="200" t="s">
        <v>736</v>
      </c>
      <c r="W241" s="32"/>
      <c r="AX241" s="32"/>
      <c r="AY241" s="32"/>
      <c r="AZ241" s="32"/>
      <c r="BA241" s="32"/>
      <c r="BB241" s="32"/>
      <c r="BC241" s="32"/>
      <c r="BD241" s="32"/>
      <c r="BE241" s="32"/>
      <c r="BF241" s="32"/>
      <c r="BG241" s="32"/>
    </row>
    <row r="242" spans="1:59" ht="14.5" x14ac:dyDescent="0.35">
      <c r="A242" s="190" t="s">
        <v>160</v>
      </c>
      <c r="B242" s="191" t="s">
        <v>238</v>
      </c>
      <c r="C242" s="191" t="s">
        <v>14</v>
      </c>
      <c r="D242" s="191" t="s">
        <v>10</v>
      </c>
      <c r="E242" s="94" t="str">
        <f>HYPERLINK("https://youtube.com/Utrikesdepartementet","https://youtube.com/Utrikesdepartementet")</f>
        <v>https://youtube.com/Utrikesdepartementet</v>
      </c>
      <c r="F242" s="249" t="s">
        <v>404</v>
      </c>
      <c r="G242" s="249" t="s">
        <v>12</v>
      </c>
      <c r="H242" s="265">
        <v>196</v>
      </c>
      <c r="I242" s="265">
        <v>111380</v>
      </c>
      <c r="J242" s="265">
        <f t="shared" si="56"/>
        <v>568.26530612244903</v>
      </c>
      <c r="K242" s="265">
        <v>371</v>
      </c>
      <c r="L242" s="265">
        <v>120</v>
      </c>
      <c r="M242" s="266">
        <f t="shared" si="57"/>
        <v>0.75560081466395113</v>
      </c>
      <c r="N242" s="266">
        <f t="shared" si="58"/>
        <v>0.24439918533604887</v>
      </c>
      <c r="O242" s="265">
        <f t="shared" si="59"/>
        <v>491</v>
      </c>
      <c r="P242" s="297">
        <v>121</v>
      </c>
      <c r="Q242" s="265">
        <f t="shared" si="55"/>
        <v>612</v>
      </c>
      <c r="R242" s="269">
        <v>228</v>
      </c>
      <c r="S242" s="298">
        <f t="shared" si="60"/>
        <v>1.8928571428571428</v>
      </c>
      <c r="T242" s="298">
        <f t="shared" si="61"/>
        <v>0.61224489795918369</v>
      </c>
      <c r="U242" s="201">
        <f t="shared" si="62"/>
        <v>3.1224489795918369</v>
      </c>
      <c r="V242" s="197" t="s">
        <v>736</v>
      </c>
    </row>
    <row r="243" spans="1:59" ht="14.5" x14ac:dyDescent="0.35">
      <c r="A243" s="196" t="s">
        <v>160</v>
      </c>
      <c r="B243" s="197" t="s">
        <v>239</v>
      </c>
      <c r="C243" s="197" t="s">
        <v>13</v>
      </c>
      <c r="D243" s="197" t="s">
        <v>10</v>
      </c>
      <c r="E243" s="253" t="s">
        <v>716</v>
      </c>
      <c r="F243" s="249" t="s">
        <v>787</v>
      </c>
      <c r="G243" s="249" t="s">
        <v>12</v>
      </c>
      <c r="H243" s="265">
        <v>79</v>
      </c>
      <c r="I243" s="265">
        <v>86539</v>
      </c>
      <c r="J243" s="265">
        <f t="shared" si="56"/>
        <v>1095.4303797468353</v>
      </c>
      <c r="K243" s="265">
        <v>574</v>
      </c>
      <c r="L243" s="265">
        <v>308</v>
      </c>
      <c r="M243" s="266">
        <f t="shared" si="57"/>
        <v>0.65079365079365081</v>
      </c>
      <c r="N243" s="266">
        <f t="shared" si="58"/>
        <v>0.34920634920634919</v>
      </c>
      <c r="O243" s="265">
        <f t="shared" si="59"/>
        <v>882</v>
      </c>
      <c r="P243" s="297">
        <v>0</v>
      </c>
      <c r="Q243" s="265">
        <f t="shared" si="55"/>
        <v>882</v>
      </c>
      <c r="R243" s="271">
        <v>560</v>
      </c>
      <c r="S243" s="298">
        <f t="shared" si="60"/>
        <v>7.2658227848101262</v>
      </c>
      <c r="T243" s="298">
        <f t="shared" si="61"/>
        <v>3.8987341772151898</v>
      </c>
      <c r="U243" s="201">
        <f t="shared" si="62"/>
        <v>11.164556962025317</v>
      </c>
      <c r="V243" s="200" t="s">
        <v>736</v>
      </c>
    </row>
    <row r="244" spans="1:59" ht="14.5" x14ac:dyDescent="0.35">
      <c r="A244" s="190" t="s">
        <v>160</v>
      </c>
      <c r="B244" s="191" t="s">
        <v>240</v>
      </c>
      <c r="C244" s="191" t="s">
        <v>9</v>
      </c>
      <c r="D244" s="191" t="s">
        <v>10</v>
      </c>
      <c r="E244" s="93" t="s">
        <v>462</v>
      </c>
      <c r="F244" s="249" t="s">
        <v>509</v>
      </c>
      <c r="G244" s="249" t="s">
        <v>12</v>
      </c>
      <c r="H244" s="265">
        <v>1024</v>
      </c>
      <c r="I244" s="265">
        <v>1033947</v>
      </c>
      <c r="J244" s="265">
        <f t="shared" si="56"/>
        <v>1009.7138671875</v>
      </c>
      <c r="K244" s="265">
        <v>1083</v>
      </c>
      <c r="L244" s="265">
        <v>34</v>
      </c>
      <c r="M244" s="266">
        <f t="shared" si="57"/>
        <v>0.9695613249776186</v>
      </c>
      <c r="N244" s="266">
        <f t="shared" si="58"/>
        <v>3.043867502238138E-2</v>
      </c>
      <c r="O244" s="265">
        <f t="shared" si="59"/>
        <v>1117</v>
      </c>
      <c r="P244" s="297">
        <v>71</v>
      </c>
      <c r="Q244" s="265">
        <f t="shared" si="55"/>
        <v>1188</v>
      </c>
      <c r="R244" s="270">
        <v>6549</v>
      </c>
      <c r="S244" s="298">
        <f t="shared" si="60"/>
        <v>1.0576171875</v>
      </c>
      <c r="T244" s="298">
        <f t="shared" si="61"/>
        <v>3.3203125E-2</v>
      </c>
      <c r="U244" s="201">
        <f t="shared" si="62"/>
        <v>1.16015625</v>
      </c>
      <c r="V244" s="197" t="s">
        <v>736</v>
      </c>
    </row>
    <row r="245" spans="1:59" ht="14.5" x14ac:dyDescent="0.35">
      <c r="A245" s="190" t="s">
        <v>160</v>
      </c>
      <c r="B245" s="191" t="s">
        <v>240</v>
      </c>
      <c r="C245" s="191" t="s">
        <v>7</v>
      </c>
      <c r="D245" s="191" t="s">
        <v>5</v>
      </c>
      <c r="E245" s="93" t="s">
        <v>241</v>
      </c>
      <c r="F245" s="249" t="s">
        <v>510</v>
      </c>
      <c r="G245" s="249" t="s">
        <v>738</v>
      </c>
      <c r="H245" s="300">
        <v>0</v>
      </c>
      <c r="I245" s="300">
        <v>0</v>
      </c>
      <c r="J245" s="265">
        <v>0</v>
      </c>
      <c r="K245" s="300">
        <v>0</v>
      </c>
      <c r="L245" s="300">
        <v>0</v>
      </c>
      <c r="M245" s="265">
        <v>0</v>
      </c>
      <c r="N245" s="265">
        <v>0</v>
      </c>
      <c r="O245" s="265">
        <v>0</v>
      </c>
      <c r="P245" s="301">
        <v>0</v>
      </c>
      <c r="Q245" s="265">
        <f t="shared" si="55"/>
        <v>0</v>
      </c>
      <c r="R245" s="270">
        <v>6</v>
      </c>
      <c r="S245" s="300">
        <v>0</v>
      </c>
      <c r="T245" s="300">
        <v>0</v>
      </c>
      <c r="U245" s="300">
        <v>0</v>
      </c>
      <c r="V245" s="200" t="s">
        <v>735</v>
      </c>
    </row>
    <row r="246" spans="1:59" ht="14.5" x14ac:dyDescent="0.35">
      <c r="A246" s="250" t="s">
        <v>160</v>
      </c>
      <c r="B246" s="261" t="s">
        <v>240</v>
      </c>
      <c r="C246" s="191" t="s">
        <v>13</v>
      </c>
      <c r="D246" s="191" t="s">
        <v>10</v>
      </c>
      <c r="E246" s="95" t="s">
        <v>464</v>
      </c>
      <c r="F246" s="249" t="s">
        <v>775</v>
      </c>
      <c r="G246" s="249" t="s">
        <v>12</v>
      </c>
      <c r="H246" s="265">
        <v>30</v>
      </c>
      <c r="I246" s="265">
        <v>15241</v>
      </c>
      <c r="J246" s="265">
        <f t="shared" ref="J246:J267" si="63">SUM(I246/H246)</f>
        <v>508.03333333333336</v>
      </c>
      <c r="K246" s="265">
        <v>72</v>
      </c>
      <c r="L246" s="265">
        <v>2</v>
      </c>
      <c r="M246" s="266">
        <f t="shared" ref="M246:M267" si="64">SUM(K246)/O246</f>
        <v>0.97297297297297303</v>
      </c>
      <c r="N246" s="266">
        <f t="shared" ref="N246:N267" si="65">SUM(L246)/O246</f>
        <v>2.7027027027027029E-2</v>
      </c>
      <c r="O246" s="265">
        <f t="shared" ref="O246:O267" si="66">SUM(K246:L246)</f>
        <v>74</v>
      </c>
      <c r="P246" s="297">
        <v>8</v>
      </c>
      <c r="Q246" s="265">
        <f t="shared" si="55"/>
        <v>82</v>
      </c>
      <c r="R246" s="299">
        <v>145</v>
      </c>
      <c r="S246" s="298">
        <f t="shared" ref="S246:S267" si="67">SUM(K246)/H246</f>
        <v>2.4</v>
      </c>
      <c r="T246" s="298">
        <f t="shared" ref="T246:T267" si="68">SUM(L246)/H246</f>
        <v>6.6666666666666666E-2</v>
      </c>
      <c r="U246" s="201">
        <f t="shared" ref="U246:U267" si="69">SUM(Q246)/(H246)</f>
        <v>2.7333333333333334</v>
      </c>
      <c r="V246" s="200" t="s">
        <v>736</v>
      </c>
    </row>
    <row r="247" spans="1:59" ht="14.5" x14ac:dyDescent="0.35">
      <c r="A247" s="190" t="s">
        <v>160</v>
      </c>
      <c r="B247" s="191" t="s">
        <v>240</v>
      </c>
      <c r="C247" s="191" t="s">
        <v>29</v>
      </c>
      <c r="D247" s="191" t="s">
        <v>5</v>
      </c>
      <c r="E247" s="93" t="s">
        <v>242</v>
      </c>
      <c r="F247" s="249" t="s">
        <v>593</v>
      </c>
      <c r="G247" s="249" t="s">
        <v>6</v>
      </c>
      <c r="H247" s="265">
        <v>34</v>
      </c>
      <c r="I247" s="265">
        <v>37432</v>
      </c>
      <c r="J247" s="265">
        <f t="shared" si="63"/>
        <v>1100.9411764705883</v>
      </c>
      <c r="K247" s="265">
        <v>29</v>
      </c>
      <c r="L247" s="265">
        <v>8</v>
      </c>
      <c r="M247" s="266">
        <f t="shared" si="64"/>
        <v>0.78378378378378377</v>
      </c>
      <c r="N247" s="266">
        <f t="shared" si="65"/>
        <v>0.21621621621621623</v>
      </c>
      <c r="O247" s="265">
        <f t="shared" si="66"/>
        <v>37</v>
      </c>
      <c r="P247" s="297">
        <v>23</v>
      </c>
      <c r="Q247" s="265">
        <f t="shared" si="55"/>
        <v>60</v>
      </c>
      <c r="R247" s="270">
        <v>19</v>
      </c>
      <c r="S247" s="298">
        <f t="shared" si="67"/>
        <v>0.8529411764705882</v>
      </c>
      <c r="T247" s="298">
        <f t="shared" si="68"/>
        <v>0.23529411764705882</v>
      </c>
      <c r="U247" s="201">
        <f t="shared" si="69"/>
        <v>1.7647058823529411</v>
      </c>
      <c r="V247" s="200" t="s">
        <v>736</v>
      </c>
    </row>
    <row r="248" spans="1:59" ht="14.5" x14ac:dyDescent="0.35">
      <c r="A248" s="190" t="s">
        <v>160</v>
      </c>
      <c r="B248" s="191" t="s">
        <v>240</v>
      </c>
      <c r="C248" s="191" t="s">
        <v>14</v>
      </c>
      <c r="D248" s="191" t="s">
        <v>10</v>
      </c>
      <c r="E248" s="94" t="str">
        <f>HYPERLINK("https://youtube.com/TCDisisleri","https://youtube.com/TCDisisleri")</f>
        <v>https://youtube.com/TCDisisleri</v>
      </c>
      <c r="F248" s="249" t="s">
        <v>419</v>
      </c>
      <c r="G248" s="249" t="s">
        <v>12</v>
      </c>
      <c r="H248" s="265">
        <v>469</v>
      </c>
      <c r="I248" s="265">
        <v>792097</v>
      </c>
      <c r="J248" s="265">
        <f t="shared" si="63"/>
        <v>1688.90618336887</v>
      </c>
      <c r="K248" s="265">
        <v>2275</v>
      </c>
      <c r="L248" s="265">
        <v>189</v>
      </c>
      <c r="M248" s="266">
        <f t="shared" si="64"/>
        <v>0.92329545454545459</v>
      </c>
      <c r="N248" s="266">
        <f t="shared" si="65"/>
        <v>7.6704545454545456E-2</v>
      </c>
      <c r="O248" s="265">
        <f t="shared" si="66"/>
        <v>2464</v>
      </c>
      <c r="P248" s="297">
        <v>190</v>
      </c>
      <c r="Q248" s="265">
        <f t="shared" si="55"/>
        <v>2654</v>
      </c>
      <c r="R248" s="269">
        <v>2765</v>
      </c>
      <c r="S248" s="298">
        <f t="shared" si="67"/>
        <v>4.8507462686567164</v>
      </c>
      <c r="T248" s="298">
        <f t="shared" si="68"/>
        <v>0.40298507462686567</v>
      </c>
      <c r="U248" s="201">
        <f t="shared" si="69"/>
        <v>5.658848614072495</v>
      </c>
      <c r="V248" s="197" t="s">
        <v>736</v>
      </c>
    </row>
    <row r="249" spans="1:59" ht="14.5" x14ac:dyDescent="0.35">
      <c r="A249" s="190" t="s">
        <v>160</v>
      </c>
      <c r="B249" s="191" t="s">
        <v>240</v>
      </c>
      <c r="C249" s="191" t="s">
        <v>14</v>
      </c>
      <c r="D249" s="191" t="s">
        <v>10</v>
      </c>
      <c r="E249" s="93" t="s">
        <v>465</v>
      </c>
      <c r="F249" s="249" t="s">
        <v>554</v>
      </c>
      <c r="G249" s="249" t="s">
        <v>773</v>
      </c>
      <c r="H249" s="265">
        <v>26</v>
      </c>
      <c r="I249" s="265">
        <v>65466</v>
      </c>
      <c r="J249" s="265">
        <f t="shared" si="63"/>
        <v>2517.9230769230771</v>
      </c>
      <c r="K249" s="265">
        <v>480</v>
      </c>
      <c r="L249" s="265">
        <v>22</v>
      </c>
      <c r="M249" s="266">
        <f t="shared" si="64"/>
        <v>0.95617529880478092</v>
      </c>
      <c r="N249" s="266">
        <f t="shared" si="65"/>
        <v>4.3824701195219126E-2</v>
      </c>
      <c r="O249" s="265">
        <f t="shared" si="66"/>
        <v>502</v>
      </c>
      <c r="P249" s="297">
        <v>93</v>
      </c>
      <c r="Q249" s="265">
        <f t="shared" si="55"/>
        <v>595</v>
      </c>
      <c r="R249" s="270">
        <v>288</v>
      </c>
      <c r="S249" s="298">
        <f t="shared" si="67"/>
        <v>18.46153846153846</v>
      </c>
      <c r="T249" s="298">
        <f t="shared" si="68"/>
        <v>0.84615384615384615</v>
      </c>
      <c r="U249" s="201">
        <f t="shared" si="69"/>
        <v>22.884615384615383</v>
      </c>
      <c r="V249" s="200" t="s">
        <v>736</v>
      </c>
    </row>
    <row r="250" spans="1:59" ht="14.5" x14ac:dyDescent="0.35">
      <c r="A250" s="190" t="s">
        <v>160</v>
      </c>
      <c r="B250" s="191" t="s">
        <v>243</v>
      </c>
      <c r="C250" s="191" t="s">
        <v>4</v>
      </c>
      <c r="D250" s="191" t="s">
        <v>5</v>
      </c>
      <c r="E250" s="93" t="s">
        <v>466</v>
      </c>
      <c r="F250" s="249" t="s">
        <v>511</v>
      </c>
      <c r="G250" s="249" t="s">
        <v>12</v>
      </c>
      <c r="H250" s="265">
        <v>301</v>
      </c>
      <c r="I250" s="265">
        <v>4624356</v>
      </c>
      <c r="J250" s="265">
        <f t="shared" si="63"/>
        <v>15363.308970099668</v>
      </c>
      <c r="K250" s="265">
        <v>42884</v>
      </c>
      <c r="L250" s="265">
        <v>27001</v>
      </c>
      <c r="M250" s="266">
        <f t="shared" si="64"/>
        <v>0.61363668884596123</v>
      </c>
      <c r="N250" s="266">
        <f t="shared" si="65"/>
        <v>0.38636331115403877</v>
      </c>
      <c r="O250" s="265">
        <f t="shared" si="66"/>
        <v>69885</v>
      </c>
      <c r="P250" s="297">
        <v>2987</v>
      </c>
      <c r="Q250" s="265">
        <f t="shared" si="55"/>
        <v>72872</v>
      </c>
      <c r="R250" s="270">
        <v>10514</v>
      </c>
      <c r="S250" s="298">
        <f t="shared" si="67"/>
        <v>142.4717607973422</v>
      </c>
      <c r="T250" s="298">
        <f t="shared" si="68"/>
        <v>89.704318936877073</v>
      </c>
      <c r="U250" s="201">
        <f t="shared" si="69"/>
        <v>242.09966777408638</v>
      </c>
      <c r="V250" s="200" t="s">
        <v>735</v>
      </c>
    </row>
    <row r="251" spans="1:59" ht="14.5" x14ac:dyDescent="0.35">
      <c r="A251" s="190" t="s">
        <v>160</v>
      </c>
      <c r="B251" s="191" t="s">
        <v>243</v>
      </c>
      <c r="C251" s="191" t="s">
        <v>9</v>
      </c>
      <c r="D251" s="191" t="s">
        <v>10</v>
      </c>
      <c r="E251" s="94" t="str">
        <f>HYPERLINK("https://youtube.com/PresidentGovUa","https://youtube.com/PresidentGovUa")</f>
        <v>https://youtube.com/PresidentGovUa</v>
      </c>
      <c r="F251" s="249" t="s">
        <v>512</v>
      </c>
      <c r="G251" s="249" t="s">
        <v>12</v>
      </c>
      <c r="H251" s="265">
        <v>442</v>
      </c>
      <c r="I251" s="265">
        <v>3883568</v>
      </c>
      <c r="J251" s="265">
        <f t="shared" si="63"/>
        <v>8786.3529411764703</v>
      </c>
      <c r="K251" s="265">
        <v>16565</v>
      </c>
      <c r="L251" s="265">
        <v>33917</v>
      </c>
      <c r="M251" s="266">
        <f t="shared" si="64"/>
        <v>0.32813676161800248</v>
      </c>
      <c r="N251" s="266">
        <f t="shared" si="65"/>
        <v>0.67186323838199757</v>
      </c>
      <c r="O251" s="265">
        <f t="shared" si="66"/>
        <v>50482</v>
      </c>
      <c r="P251" s="297">
        <v>25280</v>
      </c>
      <c r="Q251" s="265">
        <f t="shared" si="55"/>
        <v>75762</v>
      </c>
      <c r="R251" s="269">
        <v>4531</v>
      </c>
      <c r="S251" s="298">
        <f t="shared" si="67"/>
        <v>37.477375565610856</v>
      </c>
      <c r="T251" s="298">
        <f t="shared" si="68"/>
        <v>76.735294117647058</v>
      </c>
      <c r="U251" s="201">
        <f t="shared" si="69"/>
        <v>171.40723981900453</v>
      </c>
      <c r="V251" s="197" t="s">
        <v>736</v>
      </c>
    </row>
    <row r="252" spans="1:59" ht="14.5" x14ac:dyDescent="0.35">
      <c r="A252" s="198" t="s">
        <v>160</v>
      </c>
      <c r="B252" s="193" t="s">
        <v>243</v>
      </c>
      <c r="C252" s="191" t="s">
        <v>7</v>
      </c>
      <c r="D252" s="191" t="s">
        <v>5</v>
      </c>
      <c r="E252" s="98" t="s">
        <v>467</v>
      </c>
      <c r="F252" s="249" t="s">
        <v>513</v>
      </c>
      <c r="G252" s="249" t="s">
        <v>12</v>
      </c>
      <c r="H252" s="265">
        <v>683</v>
      </c>
      <c r="I252" s="265">
        <v>3727593</v>
      </c>
      <c r="J252" s="265">
        <f t="shared" si="63"/>
        <v>5457.6764275256219</v>
      </c>
      <c r="K252" s="265">
        <v>29414</v>
      </c>
      <c r="L252" s="265">
        <v>21371</v>
      </c>
      <c r="M252" s="266">
        <f t="shared" si="64"/>
        <v>0.57918676774638178</v>
      </c>
      <c r="N252" s="266">
        <f t="shared" si="65"/>
        <v>0.42081323225361822</v>
      </c>
      <c r="O252" s="265">
        <f t="shared" si="66"/>
        <v>50785</v>
      </c>
      <c r="P252" s="297">
        <v>3987</v>
      </c>
      <c r="Q252" s="265">
        <f t="shared" si="55"/>
        <v>54772</v>
      </c>
      <c r="R252" s="271">
        <v>5867</v>
      </c>
      <c r="S252" s="298">
        <f t="shared" si="67"/>
        <v>43.065885797950223</v>
      </c>
      <c r="T252" s="298">
        <f t="shared" si="68"/>
        <v>31.289897510980968</v>
      </c>
      <c r="U252" s="201">
        <f t="shared" si="69"/>
        <v>80.193265007320647</v>
      </c>
      <c r="V252" s="200" t="s">
        <v>735</v>
      </c>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c r="AU252" s="32"/>
      <c r="AV252" s="32"/>
    </row>
    <row r="253" spans="1:59" ht="14.5" x14ac:dyDescent="0.35">
      <c r="A253" s="190" t="s">
        <v>160</v>
      </c>
      <c r="B253" s="191" t="s">
        <v>243</v>
      </c>
      <c r="C253" s="191" t="s">
        <v>14</v>
      </c>
      <c r="D253" s="191" t="s">
        <v>10</v>
      </c>
      <c r="E253" s="94" t="str">
        <f>HYPERLINK("https://youtube.com/UkraineMFA","https://youtube.com/UkraineMFA")</f>
        <v>https://youtube.com/UkraineMFA</v>
      </c>
      <c r="F253" s="249" t="s">
        <v>244</v>
      </c>
      <c r="G253" s="249" t="s">
        <v>12</v>
      </c>
      <c r="H253" s="265">
        <v>127</v>
      </c>
      <c r="I253" s="265">
        <v>178863</v>
      </c>
      <c r="J253" s="265">
        <f t="shared" si="63"/>
        <v>1408.3700787401574</v>
      </c>
      <c r="K253" s="265">
        <v>1154</v>
      </c>
      <c r="L253" s="265">
        <v>173</v>
      </c>
      <c r="M253" s="266">
        <f t="shared" si="64"/>
        <v>0.8696307460437076</v>
      </c>
      <c r="N253" s="266">
        <f t="shared" si="65"/>
        <v>0.1303692539562924</v>
      </c>
      <c r="O253" s="265">
        <f t="shared" si="66"/>
        <v>1327</v>
      </c>
      <c r="P253" s="297">
        <v>282</v>
      </c>
      <c r="Q253" s="265">
        <f t="shared" si="55"/>
        <v>1609</v>
      </c>
      <c r="R253" s="269">
        <v>357</v>
      </c>
      <c r="S253" s="298">
        <f t="shared" si="67"/>
        <v>9.0866141732283463</v>
      </c>
      <c r="T253" s="298">
        <f t="shared" si="68"/>
        <v>1.3622047244094488</v>
      </c>
      <c r="U253" s="201">
        <f t="shared" si="69"/>
        <v>12.669291338582678</v>
      </c>
      <c r="V253" s="197" t="s">
        <v>736</v>
      </c>
    </row>
    <row r="254" spans="1:59" ht="14.5" x14ac:dyDescent="0.35">
      <c r="A254" s="190" t="s">
        <v>160</v>
      </c>
      <c r="B254" s="191" t="s">
        <v>245</v>
      </c>
      <c r="C254" s="191" t="s">
        <v>236</v>
      </c>
      <c r="D254" s="191" t="s">
        <v>10</v>
      </c>
      <c r="E254" s="94" t="str">
        <f>HYPERLINK("https://youtube.com/TheRoyalChannel","https://youtube.com/TheRoyalChannel")</f>
        <v>https://youtube.com/TheRoyalChannel</v>
      </c>
      <c r="F254" s="249" t="s">
        <v>246</v>
      </c>
      <c r="G254" s="249" t="s">
        <v>12</v>
      </c>
      <c r="H254" s="265">
        <v>879</v>
      </c>
      <c r="I254" s="265">
        <v>54231140</v>
      </c>
      <c r="J254" s="265">
        <f t="shared" si="63"/>
        <v>61696.405005688284</v>
      </c>
      <c r="K254" s="265">
        <v>104410</v>
      </c>
      <c r="L254" s="265">
        <v>14113</v>
      </c>
      <c r="M254" s="266">
        <f t="shared" si="64"/>
        <v>0.88092606498316783</v>
      </c>
      <c r="N254" s="266">
        <f t="shared" si="65"/>
        <v>0.11907393501683218</v>
      </c>
      <c r="O254" s="265">
        <f t="shared" si="66"/>
        <v>118523</v>
      </c>
      <c r="P254" s="297">
        <v>361</v>
      </c>
      <c r="Q254" s="265">
        <f t="shared" si="55"/>
        <v>118884</v>
      </c>
      <c r="R254" s="270">
        <v>149030</v>
      </c>
      <c r="S254" s="298">
        <f t="shared" si="67"/>
        <v>118.78270762229806</v>
      </c>
      <c r="T254" s="298">
        <f t="shared" si="68"/>
        <v>16.055745164960182</v>
      </c>
      <c r="U254" s="201">
        <f t="shared" si="69"/>
        <v>135.24914675767917</v>
      </c>
      <c r="V254" s="200" t="s">
        <v>735</v>
      </c>
    </row>
    <row r="255" spans="1:59" ht="14.5" x14ac:dyDescent="0.35">
      <c r="A255" s="190" t="s">
        <v>160</v>
      </c>
      <c r="B255" s="191" t="s">
        <v>245</v>
      </c>
      <c r="C255" s="191" t="s">
        <v>13</v>
      </c>
      <c r="D255" s="191" t="s">
        <v>10</v>
      </c>
      <c r="E255" s="94" t="str">
        <f>HYPERLINK("https://youtube.com/number10gov","https://youtube.com/number10gov")</f>
        <v>https://youtube.com/number10gov</v>
      </c>
      <c r="F255" s="249" t="s">
        <v>247</v>
      </c>
      <c r="G255" s="249" t="s">
        <v>12</v>
      </c>
      <c r="H255" s="265">
        <v>247</v>
      </c>
      <c r="I255" s="265">
        <v>1809140</v>
      </c>
      <c r="J255" s="265">
        <f t="shared" si="63"/>
        <v>7324.4534412955463</v>
      </c>
      <c r="K255" s="265">
        <v>6564</v>
      </c>
      <c r="L255" s="265">
        <v>2808</v>
      </c>
      <c r="M255" s="266">
        <f t="shared" si="64"/>
        <v>0.70038412291933416</v>
      </c>
      <c r="N255" s="266">
        <f t="shared" si="65"/>
        <v>0.29961587708066584</v>
      </c>
      <c r="O255" s="265">
        <f t="shared" si="66"/>
        <v>9372</v>
      </c>
      <c r="P255" s="297">
        <v>6961</v>
      </c>
      <c r="Q255" s="265">
        <f t="shared" si="55"/>
        <v>16333</v>
      </c>
      <c r="R255" s="269">
        <v>6684</v>
      </c>
      <c r="S255" s="298">
        <f t="shared" si="67"/>
        <v>26.574898785425102</v>
      </c>
      <c r="T255" s="298">
        <f t="shared" si="68"/>
        <v>11.368421052631579</v>
      </c>
      <c r="U255" s="201">
        <f t="shared" si="69"/>
        <v>66.125506072874501</v>
      </c>
      <c r="V255" s="200" t="s">
        <v>736</v>
      </c>
    </row>
    <row r="256" spans="1:59" ht="14.5" x14ac:dyDescent="0.35">
      <c r="A256" s="190" t="s">
        <v>160</v>
      </c>
      <c r="B256" s="191" t="s">
        <v>245</v>
      </c>
      <c r="C256" s="191" t="s">
        <v>13</v>
      </c>
      <c r="D256" s="191" t="s">
        <v>10</v>
      </c>
      <c r="E256" s="93" t="s">
        <v>248</v>
      </c>
      <c r="F256" s="249" t="s">
        <v>589</v>
      </c>
      <c r="G256" s="249" t="s">
        <v>12</v>
      </c>
      <c r="H256" s="265">
        <v>127</v>
      </c>
      <c r="I256" s="265">
        <v>57480</v>
      </c>
      <c r="J256" s="265">
        <f t="shared" si="63"/>
        <v>452.59842519685037</v>
      </c>
      <c r="K256" s="265">
        <v>75</v>
      </c>
      <c r="L256" s="265">
        <v>11</v>
      </c>
      <c r="M256" s="266">
        <f t="shared" si="64"/>
        <v>0.87209302325581395</v>
      </c>
      <c r="N256" s="266">
        <f t="shared" si="65"/>
        <v>0.12790697674418605</v>
      </c>
      <c r="O256" s="265">
        <f t="shared" si="66"/>
        <v>86</v>
      </c>
      <c r="P256" s="297">
        <v>26</v>
      </c>
      <c r="Q256" s="265">
        <f t="shared" si="55"/>
        <v>112</v>
      </c>
      <c r="R256" s="270">
        <v>276</v>
      </c>
      <c r="S256" s="298">
        <f t="shared" si="67"/>
        <v>0.59055118110236215</v>
      </c>
      <c r="T256" s="298">
        <f t="shared" si="68"/>
        <v>8.6614173228346455E-2</v>
      </c>
      <c r="U256" s="201">
        <f t="shared" si="69"/>
        <v>0.88188976377952755</v>
      </c>
      <c r="V256" s="200" t="s">
        <v>736</v>
      </c>
    </row>
    <row r="257" spans="1:22" ht="14.5" x14ac:dyDescent="0.35">
      <c r="A257" s="190" t="s">
        <v>160</v>
      </c>
      <c r="B257" s="191" t="s">
        <v>245</v>
      </c>
      <c r="C257" s="191" t="s">
        <v>14</v>
      </c>
      <c r="D257" s="191" t="s">
        <v>10</v>
      </c>
      <c r="E257" s="94" t="str">
        <f>HYPERLINK("https://youtube.com/ukforeignoffice","https://youtube.com/ukforeignoffice")</f>
        <v>https://youtube.com/ukforeignoffice</v>
      </c>
      <c r="F257" s="249" t="s">
        <v>622</v>
      </c>
      <c r="G257" s="249" t="s">
        <v>12</v>
      </c>
      <c r="H257" s="265">
        <v>1566</v>
      </c>
      <c r="I257" s="265">
        <v>3234588</v>
      </c>
      <c r="J257" s="265">
        <f t="shared" si="63"/>
        <v>2065.5095785440612</v>
      </c>
      <c r="K257" s="265">
        <v>16605</v>
      </c>
      <c r="L257" s="265">
        <v>1040</v>
      </c>
      <c r="M257" s="266">
        <f t="shared" si="64"/>
        <v>0.94105979030886933</v>
      </c>
      <c r="N257" s="266">
        <f t="shared" si="65"/>
        <v>5.8940209691130632E-2</v>
      </c>
      <c r="O257" s="265">
        <f t="shared" si="66"/>
        <v>17645</v>
      </c>
      <c r="P257" s="297">
        <v>2647</v>
      </c>
      <c r="Q257" s="265">
        <f t="shared" si="55"/>
        <v>20292</v>
      </c>
      <c r="R257" s="269">
        <v>7106</v>
      </c>
      <c r="S257" s="298">
        <f t="shared" si="67"/>
        <v>10.603448275862069</v>
      </c>
      <c r="T257" s="298">
        <f t="shared" si="68"/>
        <v>0.66411238825031926</v>
      </c>
      <c r="U257" s="201">
        <f t="shared" si="69"/>
        <v>12.957854406130268</v>
      </c>
      <c r="V257" s="200" t="s">
        <v>735</v>
      </c>
    </row>
    <row r="258" spans="1:22" ht="14.5" x14ac:dyDescent="0.35">
      <c r="A258" s="190" t="s">
        <v>160</v>
      </c>
      <c r="B258" s="191" t="s">
        <v>249</v>
      </c>
      <c r="C258" s="191" t="s">
        <v>104</v>
      </c>
      <c r="D258" s="191" t="s">
        <v>5</v>
      </c>
      <c r="E258" s="94" t="str">
        <f>HYPERLINK("https://youtube.com/vatican","https://youtube.com/vatican")</f>
        <v>https://youtube.com/vatican</v>
      </c>
      <c r="F258" s="249" t="s">
        <v>380</v>
      </c>
      <c r="G258" s="249" t="s">
        <v>12</v>
      </c>
      <c r="H258" s="265">
        <v>3266</v>
      </c>
      <c r="I258" s="265">
        <v>29675911</v>
      </c>
      <c r="J258" s="265">
        <f t="shared" si="63"/>
        <v>9086.3169014084506</v>
      </c>
      <c r="K258" s="265">
        <v>71</v>
      </c>
      <c r="L258" s="265">
        <v>5</v>
      </c>
      <c r="M258" s="266">
        <f t="shared" si="64"/>
        <v>0.93421052631578949</v>
      </c>
      <c r="N258" s="266">
        <f t="shared" si="65"/>
        <v>6.5789473684210523E-2</v>
      </c>
      <c r="O258" s="265">
        <f t="shared" si="66"/>
        <v>76</v>
      </c>
      <c r="P258" s="297">
        <v>2784</v>
      </c>
      <c r="Q258" s="265">
        <f t="shared" si="55"/>
        <v>2860</v>
      </c>
      <c r="R258" s="270">
        <v>141120</v>
      </c>
      <c r="S258" s="298">
        <f t="shared" si="67"/>
        <v>2.1739130434782608E-2</v>
      </c>
      <c r="T258" s="298">
        <f t="shared" si="68"/>
        <v>1.5309246785058174E-3</v>
      </c>
      <c r="U258" s="201">
        <f t="shared" si="69"/>
        <v>0.87568891610532762</v>
      </c>
      <c r="V258" s="200" t="s">
        <v>735</v>
      </c>
    </row>
    <row r="259" spans="1:22" ht="14.5" x14ac:dyDescent="0.35">
      <c r="A259" s="190" t="s">
        <v>160</v>
      </c>
      <c r="B259" s="191" t="s">
        <v>249</v>
      </c>
      <c r="C259" s="191" t="s">
        <v>104</v>
      </c>
      <c r="D259" s="191" t="s">
        <v>5</v>
      </c>
      <c r="E259" s="94" t="str">
        <f>HYPERLINK("https://youtube.com/vaticanit","https://youtube.com/vaticanit")</f>
        <v>https://youtube.com/vaticanit</v>
      </c>
      <c r="F259" s="249" t="s">
        <v>335</v>
      </c>
      <c r="G259" s="249" t="s">
        <v>12</v>
      </c>
      <c r="H259" s="265">
        <v>3276</v>
      </c>
      <c r="I259" s="265">
        <v>7887261</v>
      </c>
      <c r="J259" s="265">
        <f t="shared" si="63"/>
        <v>2407.5888278388279</v>
      </c>
      <c r="K259" s="265">
        <v>449</v>
      </c>
      <c r="L259" s="265">
        <v>182</v>
      </c>
      <c r="M259" s="266">
        <f t="shared" si="64"/>
        <v>0.71156893819334388</v>
      </c>
      <c r="N259" s="266">
        <f t="shared" si="65"/>
        <v>0.28843106180665612</v>
      </c>
      <c r="O259" s="265">
        <f t="shared" si="66"/>
        <v>631</v>
      </c>
      <c r="P259" s="297">
        <v>4</v>
      </c>
      <c r="Q259" s="265">
        <f t="shared" ref="Q259:Q322" si="70">SUM(O259,P259)</f>
        <v>635</v>
      </c>
      <c r="R259" s="269">
        <v>23174</v>
      </c>
      <c r="S259" s="298">
        <f t="shared" si="67"/>
        <v>0.13705738705738707</v>
      </c>
      <c r="T259" s="298">
        <f t="shared" si="68"/>
        <v>5.5555555555555552E-2</v>
      </c>
      <c r="U259" s="201">
        <f t="shared" si="69"/>
        <v>0.19383394383394384</v>
      </c>
      <c r="V259" s="200" t="s">
        <v>735</v>
      </c>
    </row>
    <row r="260" spans="1:22" ht="14.5" x14ac:dyDescent="0.35">
      <c r="A260" s="190" t="s">
        <v>160</v>
      </c>
      <c r="B260" s="191" t="s">
        <v>249</v>
      </c>
      <c r="C260" s="191" t="s">
        <v>104</v>
      </c>
      <c r="D260" s="191" t="s">
        <v>5</v>
      </c>
      <c r="E260" s="94" t="str">
        <f>HYPERLINK("https://youtube.com/vaticanes","https://youtube.com/vaticanes")</f>
        <v>https://youtube.com/vaticanes</v>
      </c>
      <c r="F260" s="249" t="s">
        <v>361</v>
      </c>
      <c r="G260" s="249" t="s">
        <v>12</v>
      </c>
      <c r="H260" s="265">
        <v>3010</v>
      </c>
      <c r="I260" s="265">
        <v>7279867</v>
      </c>
      <c r="J260" s="265">
        <f t="shared" si="63"/>
        <v>2418.5604651162789</v>
      </c>
      <c r="K260" s="265">
        <v>1590</v>
      </c>
      <c r="L260" s="265">
        <v>265</v>
      </c>
      <c r="M260" s="266">
        <f t="shared" si="64"/>
        <v>0.8571428571428571</v>
      </c>
      <c r="N260" s="266">
        <f t="shared" si="65"/>
        <v>0.14285714285714285</v>
      </c>
      <c r="O260" s="265">
        <f t="shared" si="66"/>
        <v>1855</v>
      </c>
      <c r="P260" s="297">
        <v>63</v>
      </c>
      <c r="Q260" s="265">
        <f t="shared" si="70"/>
        <v>1918</v>
      </c>
      <c r="R260" s="270">
        <v>34477</v>
      </c>
      <c r="S260" s="298">
        <f t="shared" si="67"/>
        <v>0.52823920265780733</v>
      </c>
      <c r="T260" s="298">
        <f t="shared" si="68"/>
        <v>8.8039867109634545E-2</v>
      </c>
      <c r="U260" s="201">
        <f t="shared" si="69"/>
        <v>0.63720930232558137</v>
      </c>
      <c r="V260" s="197" t="s">
        <v>736</v>
      </c>
    </row>
    <row r="261" spans="1:22" ht="14.5" x14ac:dyDescent="0.35">
      <c r="A261" s="190" t="s">
        <v>160</v>
      </c>
      <c r="B261" s="191" t="s">
        <v>249</v>
      </c>
      <c r="C261" s="191" t="s">
        <v>104</v>
      </c>
      <c r="D261" s="191" t="s">
        <v>5</v>
      </c>
      <c r="E261" s="94" t="str">
        <f>HYPERLINK("https://youtube.com/vaticande","https://youtube.com/vaticande")</f>
        <v>https://youtube.com/vaticande</v>
      </c>
      <c r="F261" s="249" t="s">
        <v>359</v>
      </c>
      <c r="G261" s="249" t="s">
        <v>12</v>
      </c>
      <c r="H261" s="265">
        <v>1873</v>
      </c>
      <c r="I261" s="265">
        <v>2182047</v>
      </c>
      <c r="J261" s="265">
        <f t="shared" si="63"/>
        <v>1165.0010678056594</v>
      </c>
      <c r="K261" s="265">
        <v>254</v>
      </c>
      <c r="L261" s="265">
        <v>155</v>
      </c>
      <c r="M261" s="266">
        <f t="shared" si="64"/>
        <v>0.62102689486552565</v>
      </c>
      <c r="N261" s="266">
        <f t="shared" si="65"/>
        <v>0.37897310513447435</v>
      </c>
      <c r="O261" s="265">
        <f t="shared" si="66"/>
        <v>409</v>
      </c>
      <c r="P261" s="297">
        <v>1</v>
      </c>
      <c r="Q261" s="265">
        <f t="shared" si="70"/>
        <v>410</v>
      </c>
      <c r="R261" s="269">
        <v>3961</v>
      </c>
      <c r="S261" s="298">
        <f t="shared" si="67"/>
        <v>0.13561131873998933</v>
      </c>
      <c r="T261" s="298">
        <f t="shared" si="68"/>
        <v>8.2754938601174582E-2</v>
      </c>
      <c r="U261" s="201">
        <f t="shared" si="69"/>
        <v>0.2189001601708489</v>
      </c>
      <c r="V261" s="197" t="s">
        <v>736</v>
      </c>
    </row>
    <row r="262" spans="1:22" ht="14.5" x14ac:dyDescent="0.35">
      <c r="A262" s="190" t="s">
        <v>160</v>
      </c>
      <c r="B262" s="191" t="s">
        <v>249</v>
      </c>
      <c r="C262" s="191" t="s">
        <v>104</v>
      </c>
      <c r="D262" s="191" t="s">
        <v>5</v>
      </c>
      <c r="E262" s="94" t="str">
        <f>HYPERLINK("https://youtube.com/vaticanfr","https://youtube.com/vaticanfr")</f>
        <v>https://youtube.com/vaticanfr</v>
      </c>
      <c r="F262" s="249" t="s">
        <v>388</v>
      </c>
      <c r="G262" s="249" t="s">
        <v>12</v>
      </c>
      <c r="H262" s="265">
        <v>2032</v>
      </c>
      <c r="I262" s="265">
        <v>1818981</v>
      </c>
      <c r="J262" s="265">
        <f t="shared" si="63"/>
        <v>895.16781496062993</v>
      </c>
      <c r="K262" s="265">
        <v>100</v>
      </c>
      <c r="L262" s="265">
        <v>71</v>
      </c>
      <c r="M262" s="266">
        <f t="shared" si="64"/>
        <v>0.58479532163742687</v>
      </c>
      <c r="N262" s="266">
        <f t="shared" si="65"/>
        <v>0.41520467836257308</v>
      </c>
      <c r="O262" s="265">
        <f t="shared" si="66"/>
        <v>171</v>
      </c>
      <c r="P262" s="297">
        <v>0</v>
      </c>
      <c r="Q262" s="265">
        <f t="shared" si="70"/>
        <v>171</v>
      </c>
      <c r="R262" s="269">
        <v>5450</v>
      </c>
      <c r="S262" s="298">
        <f t="shared" si="67"/>
        <v>4.9212598425196853E-2</v>
      </c>
      <c r="T262" s="298">
        <f t="shared" si="68"/>
        <v>3.4940944881889764E-2</v>
      </c>
      <c r="U262" s="201">
        <f t="shared" si="69"/>
        <v>8.4153543307086617E-2</v>
      </c>
      <c r="V262" s="197" t="s">
        <v>736</v>
      </c>
    </row>
    <row r="263" spans="1:22" ht="14.5" x14ac:dyDescent="0.35">
      <c r="A263" s="190" t="s">
        <v>160</v>
      </c>
      <c r="B263" s="191" t="s">
        <v>249</v>
      </c>
      <c r="C263" s="191" t="s">
        <v>104</v>
      </c>
      <c r="D263" s="191" t="s">
        <v>5</v>
      </c>
      <c r="E263" s="94" t="str">
        <f>HYPERLINK("https://youtube.com/vaticancn","https://youtube.com/vaticancn")</f>
        <v>https://youtube.com/vaticancn</v>
      </c>
      <c r="F263" s="249" t="s">
        <v>844</v>
      </c>
      <c r="G263" s="249" t="s">
        <v>12</v>
      </c>
      <c r="H263" s="265">
        <v>1586</v>
      </c>
      <c r="I263" s="265">
        <v>348577</v>
      </c>
      <c r="J263" s="265">
        <f t="shared" si="63"/>
        <v>219.78373266078185</v>
      </c>
      <c r="K263" s="265">
        <v>844</v>
      </c>
      <c r="L263" s="265">
        <v>24</v>
      </c>
      <c r="M263" s="266">
        <f t="shared" si="64"/>
        <v>0.97235023041474655</v>
      </c>
      <c r="N263" s="266">
        <f t="shared" si="65"/>
        <v>2.7649769585253458E-2</v>
      </c>
      <c r="O263" s="265">
        <f t="shared" si="66"/>
        <v>868</v>
      </c>
      <c r="P263" s="297">
        <v>18</v>
      </c>
      <c r="Q263" s="265">
        <f t="shared" si="70"/>
        <v>886</v>
      </c>
      <c r="R263" s="269">
        <v>2203</v>
      </c>
      <c r="S263" s="298">
        <f t="shared" si="67"/>
        <v>0.53215636822194201</v>
      </c>
      <c r="T263" s="298">
        <f t="shared" si="68"/>
        <v>1.5132408575031526E-2</v>
      </c>
      <c r="U263" s="201">
        <f t="shared" si="69"/>
        <v>0.55863808322824715</v>
      </c>
      <c r="V263" s="197" t="s">
        <v>736</v>
      </c>
    </row>
    <row r="264" spans="1:22" ht="14.5" x14ac:dyDescent="0.35">
      <c r="A264" s="190" t="s">
        <v>160</v>
      </c>
      <c r="B264" s="191" t="s">
        <v>249</v>
      </c>
      <c r="C264" s="191" t="s">
        <v>104</v>
      </c>
      <c r="D264" s="191" t="s">
        <v>5</v>
      </c>
      <c r="E264" s="94" t="str">
        <f>HYPERLINK("https://youtube.com/vaticanlt","https://youtube.com/vaticanlt")</f>
        <v>https://youtube.com/vaticanlt</v>
      </c>
      <c r="F264" s="249" t="s">
        <v>614</v>
      </c>
      <c r="G264" s="249" t="s">
        <v>12</v>
      </c>
      <c r="H264" s="265">
        <v>1946</v>
      </c>
      <c r="I264" s="265">
        <v>232131</v>
      </c>
      <c r="J264" s="265">
        <f t="shared" si="63"/>
        <v>119.28622816032887</v>
      </c>
      <c r="K264" s="265">
        <v>6</v>
      </c>
      <c r="L264" s="265">
        <v>3</v>
      </c>
      <c r="M264" s="266">
        <f t="shared" si="64"/>
        <v>0.66666666666666663</v>
      </c>
      <c r="N264" s="266">
        <f t="shared" si="65"/>
        <v>0.33333333333333331</v>
      </c>
      <c r="O264" s="265">
        <f t="shared" si="66"/>
        <v>9</v>
      </c>
      <c r="P264" s="297">
        <v>7</v>
      </c>
      <c r="Q264" s="265">
        <f t="shared" si="70"/>
        <v>16</v>
      </c>
      <c r="R264" s="269">
        <v>868</v>
      </c>
      <c r="S264" s="298">
        <f t="shared" si="67"/>
        <v>3.0832476875642342E-3</v>
      </c>
      <c r="T264" s="298">
        <f t="shared" si="68"/>
        <v>1.5416238437821171E-3</v>
      </c>
      <c r="U264" s="201">
        <f t="shared" si="69"/>
        <v>8.2219938335046251E-3</v>
      </c>
      <c r="V264" s="197" t="s">
        <v>736</v>
      </c>
    </row>
    <row r="265" spans="1:22" ht="14.5" x14ac:dyDescent="0.35">
      <c r="A265" s="190" t="s">
        <v>250</v>
      </c>
      <c r="B265" s="191" t="s">
        <v>251</v>
      </c>
      <c r="C265" s="191" t="s">
        <v>7</v>
      </c>
      <c r="D265" s="191" t="s">
        <v>5</v>
      </c>
      <c r="E265" s="94" t="str">
        <f>HYPERLINK("https://youtube.com/antiguagovernment","https://youtube.com/antiguagovernment")</f>
        <v>https://youtube.com/antiguagovernment</v>
      </c>
      <c r="F265" s="249" t="s">
        <v>386</v>
      </c>
      <c r="G265" s="249" t="s">
        <v>12</v>
      </c>
      <c r="H265" s="265">
        <v>2326</v>
      </c>
      <c r="I265" s="265">
        <v>791975</v>
      </c>
      <c r="J265" s="265">
        <f t="shared" si="63"/>
        <v>340.48796216680995</v>
      </c>
      <c r="K265" s="265">
        <v>3007</v>
      </c>
      <c r="L265" s="265">
        <v>251</v>
      </c>
      <c r="M265" s="266">
        <f t="shared" si="64"/>
        <v>0.92295887047268266</v>
      </c>
      <c r="N265" s="266">
        <f t="shared" si="65"/>
        <v>7.704112952731737E-2</v>
      </c>
      <c r="O265" s="265">
        <f t="shared" si="66"/>
        <v>3258</v>
      </c>
      <c r="P265" s="297">
        <v>576</v>
      </c>
      <c r="Q265" s="265">
        <f t="shared" si="70"/>
        <v>3834</v>
      </c>
      <c r="R265" s="269">
        <v>1306</v>
      </c>
      <c r="S265" s="298">
        <f t="shared" si="67"/>
        <v>1.2927773000859846</v>
      </c>
      <c r="T265" s="298">
        <f t="shared" si="68"/>
        <v>0.10791057609630267</v>
      </c>
      <c r="U265" s="201">
        <f t="shared" si="69"/>
        <v>1.6483233018056749</v>
      </c>
      <c r="V265" s="200" t="s">
        <v>736</v>
      </c>
    </row>
    <row r="266" spans="1:22" ht="14.5" x14ac:dyDescent="0.35">
      <c r="A266" s="255" t="s">
        <v>250</v>
      </c>
      <c r="B266" s="256" t="s">
        <v>253</v>
      </c>
      <c r="C266" s="256" t="s">
        <v>13</v>
      </c>
      <c r="D266" s="256" t="s">
        <v>10</v>
      </c>
      <c r="E266" s="95" t="s">
        <v>468</v>
      </c>
      <c r="F266" s="249" t="s">
        <v>581</v>
      </c>
      <c r="G266" s="249" t="s">
        <v>12</v>
      </c>
      <c r="H266" s="265">
        <v>437</v>
      </c>
      <c r="I266" s="265">
        <v>126201</v>
      </c>
      <c r="J266" s="265">
        <f t="shared" si="63"/>
        <v>288.78947368421052</v>
      </c>
      <c r="K266" s="265">
        <v>747</v>
      </c>
      <c r="L266" s="265">
        <v>28</v>
      </c>
      <c r="M266" s="266">
        <f t="shared" si="64"/>
        <v>0.96387096774193548</v>
      </c>
      <c r="N266" s="266">
        <f t="shared" si="65"/>
        <v>3.612903225806452E-2</v>
      </c>
      <c r="O266" s="265">
        <f t="shared" si="66"/>
        <v>775</v>
      </c>
      <c r="P266" s="297">
        <v>98</v>
      </c>
      <c r="Q266" s="265">
        <f t="shared" si="70"/>
        <v>873</v>
      </c>
      <c r="R266" s="271">
        <v>494</v>
      </c>
      <c r="S266" s="298">
        <f t="shared" si="67"/>
        <v>1.7093821510297482</v>
      </c>
      <c r="T266" s="298">
        <f t="shared" si="68"/>
        <v>6.4073226544622428E-2</v>
      </c>
      <c r="U266" s="201">
        <f t="shared" si="69"/>
        <v>1.9977116704805491</v>
      </c>
      <c r="V266" s="197" t="s">
        <v>736</v>
      </c>
    </row>
    <row r="267" spans="1:22" ht="14.5" x14ac:dyDescent="0.35">
      <c r="A267" s="190" t="s">
        <v>250</v>
      </c>
      <c r="B267" s="191" t="s">
        <v>254</v>
      </c>
      <c r="C267" s="191" t="s">
        <v>13</v>
      </c>
      <c r="D267" s="191" t="s">
        <v>10</v>
      </c>
      <c r="E267" s="93" t="s">
        <v>469</v>
      </c>
      <c r="F267" s="249" t="s">
        <v>550</v>
      </c>
      <c r="G267" s="249" t="s">
        <v>6</v>
      </c>
      <c r="H267" s="265">
        <v>76</v>
      </c>
      <c r="I267" s="265">
        <v>9871</v>
      </c>
      <c r="J267" s="265">
        <f t="shared" si="63"/>
        <v>129.88157894736841</v>
      </c>
      <c r="K267" s="265">
        <v>32</v>
      </c>
      <c r="L267" s="265">
        <v>2</v>
      </c>
      <c r="M267" s="266">
        <f t="shared" si="64"/>
        <v>0.94117647058823528</v>
      </c>
      <c r="N267" s="266">
        <f t="shared" si="65"/>
        <v>5.8823529411764705E-2</v>
      </c>
      <c r="O267" s="265">
        <f t="shared" si="66"/>
        <v>34</v>
      </c>
      <c r="P267" s="297">
        <v>8</v>
      </c>
      <c r="Q267" s="265">
        <f t="shared" si="70"/>
        <v>42</v>
      </c>
      <c r="R267" s="270">
        <v>22</v>
      </c>
      <c r="S267" s="298">
        <f t="shared" si="67"/>
        <v>0.42105263157894735</v>
      </c>
      <c r="T267" s="298">
        <f t="shared" si="68"/>
        <v>2.6315789473684209E-2</v>
      </c>
      <c r="U267" s="201">
        <f t="shared" si="69"/>
        <v>0.55263157894736847</v>
      </c>
      <c r="V267" s="200" t="s">
        <v>736</v>
      </c>
    </row>
    <row r="268" spans="1:22" ht="14.5" x14ac:dyDescent="0.35">
      <c r="A268" s="198" t="s">
        <v>250</v>
      </c>
      <c r="B268" s="191" t="s">
        <v>255</v>
      </c>
      <c r="C268" s="191" t="s">
        <v>7</v>
      </c>
      <c r="D268" s="191" t="s">
        <v>5</v>
      </c>
      <c r="E268" s="93" t="s">
        <v>256</v>
      </c>
      <c r="F268" s="249" t="s">
        <v>514</v>
      </c>
      <c r="G268" s="249" t="s">
        <v>738</v>
      </c>
      <c r="H268" s="300">
        <v>0</v>
      </c>
      <c r="I268" s="300">
        <v>0</v>
      </c>
      <c r="J268" s="265">
        <v>0</v>
      </c>
      <c r="K268" s="265">
        <v>0</v>
      </c>
      <c r="L268" s="265">
        <v>0</v>
      </c>
      <c r="M268" s="265">
        <v>0</v>
      </c>
      <c r="N268" s="265">
        <v>0</v>
      </c>
      <c r="O268" s="265">
        <v>0</v>
      </c>
      <c r="P268" s="297">
        <v>0</v>
      </c>
      <c r="Q268" s="265">
        <f t="shared" si="70"/>
        <v>0</v>
      </c>
      <c r="R268" s="270">
        <v>1644</v>
      </c>
      <c r="S268" s="265">
        <v>0</v>
      </c>
      <c r="T268" s="265">
        <v>0</v>
      </c>
      <c r="U268" s="265">
        <v>0</v>
      </c>
      <c r="V268" s="200" t="s">
        <v>736</v>
      </c>
    </row>
    <row r="269" spans="1:22" ht="14.5" x14ac:dyDescent="0.35">
      <c r="A269" s="190" t="s">
        <v>250</v>
      </c>
      <c r="B269" s="191" t="s">
        <v>255</v>
      </c>
      <c r="C269" s="191" t="s">
        <v>14</v>
      </c>
      <c r="D269" s="191" t="s">
        <v>10</v>
      </c>
      <c r="E269" s="94" t="str">
        <f>HYPERLINK("https://youtube.com/channel/UCIVMBvs03h74NSdQMH31jKA","https://youtube.com/channel/UCIVMBvs03h74NSdQMH31jKA")</f>
        <v>https://youtube.com/channel/UCIVMBvs03h74NSdQMH31jKA</v>
      </c>
      <c r="F269" s="249" t="s">
        <v>327</v>
      </c>
      <c r="G269" s="249" t="s">
        <v>12</v>
      </c>
      <c r="H269" s="265">
        <v>102</v>
      </c>
      <c r="I269" s="265">
        <v>117945</v>
      </c>
      <c r="J269" s="265">
        <f t="shared" ref="J269:J300" si="71">SUM(I269/H269)</f>
        <v>1156.3235294117646</v>
      </c>
      <c r="K269" s="265">
        <v>82</v>
      </c>
      <c r="L269" s="265">
        <v>3</v>
      </c>
      <c r="M269" s="266">
        <f t="shared" ref="M269:M288" si="72">SUM(K269)/O269</f>
        <v>0.96470588235294119</v>
      </c>
      <c r="N269" s="266">
        <f t="shared" ref="N269:N288" si="73">SUM(L269)/O269</f>
        <v>3.5294117647058823E-2</v>
      </c>
      <c r="O269" s="265">
        <f t="shared" ref="O269:O288" si="74">SUM(K269:L269)</f>
        <v>85</v>
      </c>
      <c r="P269" s="297">
        <v>6</v>
      </c>
      <c r="Q269" s="265">
        <f t="shared" si="70"/>
        <v>91</v>
      </c>
      <c r="R269" s="269">
        <v>250</v>
      </c>
      <c r="S269" s="298">
        <f t="shared" ref="S269:S300" si="75">SUM(K269)/H269</f>
        <v>0.80392156862745101</v>
      </c>
      <c r="T269" s="298">
        <f t="shared" ref="T269:T300" si="76">SUM(L269)/H269</f>
        <v>2.9411764705882353E-2</v>
      </c>
      <c r="U269" s="201">
        <f t="shared" ref="U269:U300" si="77">SUM(Q269)/(H269)</f>
        <v>0.89215686274509809</v>
      </c>
      <c r="V269" s="200" t="s">
        <v>736</v>
      </c>
    </row>
    <row r="270" spans="1:22" ht="14.5" x14ac:dyDescent="0.35">
      <c r="A270" s="190" t="s">
        <v>250</v>
      </c>
      <c r="B270" s="191" t="s">
        <v>255</v>
      </c>
      <c r="C270" s="191" t="s">
        <v>14</v>
      </c>
      <c r="D270" s="191" t="s">
        <v>10</v>
      </c>
      <c r="E270" s="94" t="str">
        <f>HYPERLINK("https://youtube.com/channel/UCC8So6wZcnVYKCI1tRdw6yg","https://youtube.com/channel/UCC8So6wZcnVYKCI1tRdw6yg")</f>
        <v>https://youtube.com/channel/UCC8So6wZcnVYKCI1tRdw6yg</v>
      </c>
      <c r="F270" s="249" t="s">
        <v>786</v>
      </c>
      <c r="G270" s="249" t="s">
        <v>12</v>
      </c>
      <c r="H270" s="265">
        <v>102</v>
      </c>
      <c r="I270" s="265">
        <v>26483</v>
      </c>
      <c r="J270" s="265">
        <f t="shared" si="71"/>
        <v>259.63725490196077</v>
      </c>
      <c r="K270" s="265">
        <v>14</v>
      </c>
      <c r="L270" s="265">
        <v>1</v>
      </c>
      <c r="M270" s="266">
        <f t="shared" si="72"/>
        <v>0.93333333333333335</v>
      </c>
      <c r="N270" s="266">
        <f t="shared" si="73"/>
        <v>6.6666666666666666E-2</v>
      </c>
      <c r="O270" s="265">
        <f t="shared" si="74"/>
        <v>15</v>
      </c>
      <c r="P270" s="297">
        <v>1</v>
      </c>
      <c r="Q270" s="265">
        <f t="shared" si="70"/>
        <v>16</v>
      </c>
      <c r="R270" s="269">
        <v>55</v>
      </c>
      <c r="S270" s="298">
        <f t="shared" si="75"/>
        <v>0.13725490196078433</v>
      </c>
      <c r="T270" s="298">
        <f t="shared" si="76"/>
        <v>9.8039215686274508E-3</v>
      </c>
      <c r="U270" s="201">
        <f t="shared" si="77"/>
        <v>0.15686274509803921</v>
      </c>
      <c r="V270" s="200" t="s">
        <v>736</v>
      </c>
    </row>
    <row r="271" spans="1:22" ht="14.5" x14ac:dyDescent="0.35">
      <c r="A271" s="190" t="s">
        <v>250</v>
      </c>
      <c r="B271" s="191" t="s">
        <v>257</v>
      </c>
      <c r="C271" s="191" t="s">
        <v>4</v>
      </c>
      <c r="D271" s="191" t="s">
        <v>5</v>
      </c>
      <c r="E271" s="93" t="s">
        <v>258</v>
      </c>
      <c r="F271" s="249" t="s">
        <v>515</v>
      </c>
      <c r="G271" s="249" t="s">
        <v>12</v>
      </c>
      <c r="H271" s="265">
        <v>147</v>
      </c>
      <c r="I271" s="265">
        <v>759095</v>
      </c>
      <c r="J271" s="265">
        <f t="shared" si="71"/>
        <v>5163.9115646258506</v>
      </c>
      <c r="K271" s="265">
        <v>13467</v>
      </c>
      <c r="L271" s="265">
        <v>684</v>
      </c>
      <c r="M271" s="266">
        <f t="shared" si="72"/>
        <v>0.95166419334322661</v>
      </c>
      <c r="N271" s="266">
        <f t="shared" si="73"/>
        <v>4.8335806656773374E-2</v>
      </c>
      <c r="O271" s="265">
        <f t="shared" si="74"/>
        <v>14151</v>
      </c>
      <c r="P271" s="297">
        <v>1117</v>
      </c>
      <c r="Q271" s="265">
        <f t="shared" si="70"/>
        <v>15268</v>
      </c>
      <c r="R271" s="270">
        <v>5728</v>
      </c>
      <c r="S271" s="298">
        <f t="shared" si="75"/>
        <v>91.612244897959187</v>
      </c>
      <c r="T271" s="298">
        <f t="shared" si="76"/>
        <v>4.6530612244897958</v>
      </c>
      <c r="U271" s="201">
        <f t="shared" si="77"/>
        <v>103.8639455782313</v>
      </c>
      <c r="V271" s="200" t="s">
        <v>736</v>
      </c>
    </row>
    <row r="272" spans="1:22" ht="14.5" x14ac:dyDescent="0.35">
      <c r="A272" s="190" t="s">
        <v>250</v>
      </c>
      <c r="B272" s="191" t="s">
        <v>257</v>
      </c>
      <c r="C272" s="191" t="s">
        <v>9</v>
      </c>
      <c r="D272" s="191" t="s">
        <v>10</v>
      </c>
      <c r="E272" s="94" t="str">
        <f>HYPERLINK("https://youtube.com/CasaPresidencialCR","https://youtube.com/CasaPresidencialCR")</f>
        <v>https://youtube.com/CasaPresidencialCR</v>
      </c>
      <c r="F272" s="249" t="s">
        <v>259</v>
      </c>
      <c r="G272" s="249" t="s">
        <v>12</v>
      </c>
      <c r="H272" s="265">
        <v>1147</v>
      </c>
      <c r="I272" s="265">
        <v>615435</v>
      </c>
      <c r="J272" s="265">
        <f t="shared" si="71"/>
        <v>536.56059285091544</v>
      </c>
      <c r="K272" s="265">
        <v>3397</v>
      </c>
      <c r="L272" s="265">
        <v>1115</v>
      </c>
      <c r="M272" s="266">
        <f t="shared" si="72"/>
        <v>0.75288120567375882</v>
      </c>
      <c r="N272" s="266">
        <f t="shared" si="73"/>
        <v>0.24711879432624115</v>
      </c>
      <c r="O272" s="265">
        <f t="shared" si="74"/>
        <v>4512</v>
      </c>
      <c r="P272" s="297">
        <v>1966</v>
      </c>
      <c r="Q272" s="265">
        <f t="shared" si="70"/>
        <v>6478</v>
      </c>
      <c r="R272" s="269">
        <v>2331</v>
      </c>
      <c r="S272" s="298">
        <f t="shared" si="75"/>
        <v>2.9616390584132519</v>
      </c>
      <c r="T272" s="298">
        <f t="shared" si="76"/>
        <v>0.97210113339145598</v>
      </c>
      <c r="U272" s="201">
        <f t="shared" si="77"/>
        <v>5.6477768090671319</v>
      </c>
      <c r="V272" s="200" t="s">
        <v>736</v>
      </c>
    </row>
    <row r="273" spans="1:49" ht="14.5" x14ac:dyDescent="0.35">
      <c r="A273" s="190" t="s">
        <v>250</v>
      </c>
      <c r="B273" s="191" t="s">
        <v>260</v>
      </c>
      <c r="C273" s="191" t="s">
        <v>4</v>
      </c>
      <c r="D273" s="191" t="s">
        <v>5</v>
      </c>
      <c r="E273" s="94" t="str">
        <f>HYPERLINK("https://youtube.com/cubadebatecu","https://youtube.com/cubadebatecu")</f>
        <v>https://youtube.com/cubadebatecu</v>
      </c>
      <c r="F273" s="249" t="s">
        <v>410</v>
      </c>
      <c r="G273" s="249" t="s">
        <v>12</v>
      </c>
      <c r="H273" s="265">
        <v>1323</v>
      </c>
      <c r="I273" s="265">
        <v>4473845</v>
      </c>
      <c r="J273" s="265">
        <f t="shared" si="71"/>
        <v>3381.5910808767953</v>
      </c>
      <c r="K273" s="265">
        <v>16672</v>
      </c>
      <c r="L273" s="265">
        <v>2326</v>
      </c>
      <c r="M273" s="266">
        <f t="shared" si="72"/>
        <v>0.87756605958521949</v>
      </c>
      <c r="N273" s="266">
        <f t="shared" si="73"/>
        <v>0.12243394041478051</v>
      </c>
      <c r="O273" s="265">
        <f t="shared" si="74"/>
        <v>18998</v>
      </c>
      <c r="P273" s="297">
        <v>8292</v>
      </c>
      <c r="Q273" s="265">
        <f t="shared" si="70"/>
        <v>27290</v>
      </c>
      <c r="R273" s="269">
        <v>7473</v>
      </c>
      <c r="S273" s="298">
        <f t="shared" si="75"/>
        <v>12.601662887377174</v>
      </c>
      <c r="T273" s="298">
        <f t="shared" si="76"/>
        <v>1.7581254724111868</v>
      </c>
      <c r="U273" s="201">
        <f t="shared" si="77"/>
        <v>20.627362055933485</v>
      </c>
      <c r="V273" s="200" t="s">
        <v>736</v>
      </c>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row>
    <row r="274" spans="1:49" ht="14.5" x14ac:dyDescent="0.35">
      <c r="A274" s="190" t="s">
        <v>250</v>
      </c>
      <c r="B274" s="191" t="s">
        <v>260</v>
      </c>
      <c r="C274" s="191" t="s">
        <v>14</v>
      </c>
      <c r="D274" s="191" t="s">
        <v>10</v>
      </c>
      <c r="E274" s="94" t="str">
        <f>HYPERLINK("https://youtube.com/cubaminrex","https://youtube.com/cubaminrex")</f>
        <v>https://youtube.com/cubaminrex</v>
      </c>
      <c r="F274" s="249" t="s">
        <v>417</v>
      </c>
      <c r="G274" s="249" t="s">
        <v>12</v>
      </c>
      <c r="H274" s="265">
        <v>122</v>
      </c>
      <c r="I274" s="265">
        <v>124241</v>
      </c>
      <c r="J274" s="265">
        <f t="shared" si="71"/>
        <v>1018.3688524590164</v>
      </c>
      <c r="K274" s="265">
        <v>461</v>
      </c>
      <c r="L274" s="265">
        <v>25</v>
      </c>
      <c r="M274" s="266">
        <f t="shared" si="72"/>
        <v>0.94855967078189296</v>
      </c>
      <c r="N274" s="266">
        <f t="shared" si="73"/>
        <v>5.1440329218106998E-2</v>
      </c>
      <c r="O274" s="265">
        <f t="shared" si="74"/>
        <v>486</v>
      </c>
      <c r="P274" s="297">
        <v>53</v>
      </c>
      <c r="Q274" s="265">
        <f t="shared" si="70"/>
        <v>539</v>
      </c>
      <c r="R274" s="269">
        <v>348</v>
      </c>
      <c r="S274" s="298">
        <f t="shared" si="75"/>
        <v>3.778688524590164</v>
      </c>
      <c r="T274" s="298">
        <f t="shared" si="76"/>
        <v>0.20491803278688525</v>
      </c>
      <c r="U274" s="201">
        <f t="shared" si="77"/>
        <v>4.418032786885246</v>
      </c>
      <c r="V274" s="200" t="s">
        <v>736</v>
      </c>
    </row>
    <row r="275" spans="1:49" ht="14.5" x14ac:dyDescent="0.35">
      <c r="A275" s="190" t="s">
        <v>250</v>
      </c>
      <c r="B275" s="191" t="s">
        <v>261</v>
      </c>
      <c r="C275" s="191" t="s">
        <v>7</v>
      </c>
      <c r="D275" s="191" t="s">
        <v>5</v>
      </c>
      <c r="E275" s="259" t="s">
        <v>721</v>
      </c>
      <c r="F275" s="249" t="s">
        <v>806</v>
      </c>
      <c r="G275" s="249" t="s">
        <v>12</v>
      </c>
      <c r="H275" s="265">
        <v>407</v>
      </c>
      <c r="I275" s="265">
        <v>224033</v>
      </c>
      <c r="J275" s="265">
        <f t="shared" si="71"/>
        <v>550.4496314496314</v>
      </c>
      <c r="K275" s="265">
        <v>1026</v>
      </c>
      <c r="L275" s="265">
        <v>148</v>
      </c>
      <c r="M275" s="266">
        <f t="shared" si="72"/>
        <v>0.87393526405451449</v>
      </c>
      <c r="N275" s="266">
        <f t="shared" si="73"/>
        <v>0.12606473594548551</v>
      </c>
      <c r="O275" s="265">
        <f t="shared" si="74"/>
        <v>1174</v>
      </c>
      <c r="P275" s="297">
        <v>1828</v>
      </c>
      <c r="Q275" s="265">
        <f t="shared" si="70"/>
        <v>3002</v>
      </c>
      <c r="R275" s="271">
        <v>810</v>
      </c>
      <c r="S275" s="298">
        <f t="shared" si="75"/>
        <v>2.520884520884521</v>
      </c>
      <c r="T275" s="298">
        <f t="shared" si="76"/>
        <v>0.36363636363636365</v>
      </c>
      <c r="U275" s="201">
        <f t="shared" si="77"/>
        <v>7.3759213759213758</v>
      </c>
      <c r="V275" s="200" t="s">
        <v>736</v>
      </c>
    </row>
    <row r="276" spans="1:49" ht="14.5" x14ac:dyDescent="0.35">
      <c r="A276" s="190" t="s">
        <v>250</v>
      </c>
      <c r="B276" s="191" t="s">
        <v>261</v>
      </c>
      <c r="C276" s="191" t="s">
        <v>13</v>
      </c>
      <c r="D276" s="191" t="s">
        <v>10</v>
      </c>
      <c r="E276" s="97" t="s">
        <v>722</v>
      </c>
      <c r="F276" s="249" t="s">
        <v>812</v>
      </c>
      <c r="G276" s="249" t="s">
        <v>12</v>
      </c>
      <c r="H276" s="265">
        <v>1030</v>
      </c>
      <c r="I276" s="265">
        <v>195642</v>
      </c>
      <c r="J276" s="265">
        <f t="shared" si="71"/>
        <v>189.94368932038836</v>
      </c>
      <c r="K276" s="265">
        <v>417</v>
      </c>
      <c r="L276" s="265">
        <v>52</v>
      </c>
      <c r="M276" s="266">
        <f t="shared" si="72"/>
        <v>0.88912579957356075</v>
      </c>
      <c r="N276" s="266">
        <f t="shared" si="73"/>
        <v>0.11087420042643924</v>
      </c>
      <c r="O276" s="265">
        <f t="shared" si="74"/>
        <v>469</v>
      </c>
      <c r="P276" s="297">
        <v>96</v>
      </c>
      <c r="Q276" s="265">
        <f t="shared" si="70"/>
        <v>565</v>
      </c>
      <c r="R276" s="299" t="s">
        <v>740</v>
      </c>
      <c r="S276" s="298">
        <f t="shared" si="75"/>
        <v>0.40485436893203886</v>
      </c>
      <c r="T276" s="298">
        <f t="shared" si="76"/>
        <v>5.0485436893203881E-2</v>
      </c>
      <c r="U276" s="201">
        <f t="shared" si="77"/>
        <v>0.54854368932038833</v>
      </c>
      <c r="V276" s="200" t="s">
        <v>736</v>
      </c>
      <c r="AW276" s="32"/>
    </row>
    <row r="277" spans="1:49" ht="14.5" x14ac:dyDescent="0.35">
      <c r="A277" s="190" t="s">
        <v>250</v>
      </c>
      <c r="B277" s="191" t="s">
        <v>262</v>
      </c>
      <c r="C277" s="191" t="s">
        <v>4</v>
      </c>
      <c r="D277" s="191" t="s">
        <v>5</v>
      </c>
      <c r="E277" s="95" t="s">
        <v>470</v>
      </c>
      <c r="F277" s="249" t="s">
        <v>562</v>
      </c>
      <c r="G277" s="249" t="s">
        <v>12</v>
      </c>
      <c r="H277" s="265">
        <v>548</v>
      </c>
      <c r="I277" s="265">
        <v>2541235</v>
      </c>
      <c r="J277" s="265">
        <f t="shared" si="71"/>
        <v>4637.2901459854011</v>
      </c>
      <c r="K277" s="265">
        <v>3109</v>
      </c>
      <c r="L277" s="265">
        <v>414</v>
      </c>
      <c r="M277" s="266">
        <f t="shared" si="72"/>
        <v>0.88248651717286408</v>
      </c>
      <c r="N277" s="266">
        <f t="shared" si="73"/>
        <v>0.11751348282713596</v>
      </c>
      <c r="O277" s="265">
        <f t="shared" si="74"/>
        <v>3523</v>
      </c>
      <c r="P277" s="297">
        <v>874</v>
      </c>
      <c r="Q277" s="265">
        <f t="shared" si="70"/>
        <v>4397</v>
      </c>
      <c r="R277" s="271">
        <v>2311</v>
      </c>
      <c r="S277" s="298">
        <f t="shared" si="75"/>
        <v>5.6733576642335768</v>
      </c>
      <c r="T277" s="298">
        <f t="shared" si="76"/>
        <v>0.75547445255474455</v>
      </c>
      <c r="U277" s="201">
        <f t="shared" si="77"/>
        <v>8.0237226277372269</v>
      </c>
      <c r="V277" s="200" t="s">
        <v>736</v>
      </c>
    </row>
    <row r="278" spans="1:49" ht="14.5" x14ac:dyDescent="0.35">
      <c r="A278" s="190" t="s">
        <v>250</v>
      </c>
      <c r="B278" s="191" t="s">
        <v>262</v>
      </c>
      <c r="C278" s="191" t="s">
        <v>9</v>
      </c>
      <c r="D278" s="191" t="s">
        <v>10</v>
      </c>
      <c r="E278" s="94" t="str">
        <f>HYPERLINK("https://youtube.com/PresidenciaRDom","https://youtube.com/PresidenciaRDom")</f>
        <v>https://youtube.com/PresidenciaRDom</v>
      </c>
      <c r="F278" s="249" t="s">
        <v>831</v>
      </c>
      <c r="G278" s="249" t="s">
        <v>12</v>
      </c>
      <c r="H278" s="265">
        <v>1646</v>
      </c>
      <c r="I278" s="265">
        <v>5057135</v>
      </c>
      <c r="J278" s="265">
        <f t="shared" si="71"/>
        <v>3072.3784933171323</v>
      </c>
      <c r="K278" s="265">
        <v>39598</v>
      </c>
      <c r="L278" s="265">
        <v>3533</v>
      </c>
      <c r="M278" s="266">
        <f t="shared" si="72"/>
        <v>0.91808675894368319</v>
      </c>
      <c r="N278" s="266">
        <f t="shared" si="73"/>
        <v>8.1913241056316796E-2</v>
      </c>
      <c r="O278" s="265">
        <f t="shared" si="74"/>
        <v>43131</v>
      </c>
      <c r="P278" s="297">
        <v>8234</v>
      </c>
      <c r="Q278" s="265">
        <f t="shared" si="70"/>
        <v>51365</v>
      </c>
      <c r="R278" s="269">
        <v>13507</v>
      </c>
      <c r="S278" s="298">
        <f t="shared" si="75"/>
        <v>24.057108140947751</v>
      </c>
      <c r="T278" s="298">
        <f t="shared" si="76"/>
        <v>2.146415552855407</v>
      </c>
      <c r="U278" s="201">
        <f t="shared" si="77"/>
        <v>31.205953827460512</v>
      </c>
      <c r="V278" s="197" t="s">
        <v>736</v>
      </c>
    </row>
    <row r="279" spans="1:49" ht="14.5" x14ac:dyDescent="0.35">
      <c r="A279" s="190" t="s">
        <v>250</v>
      </c>
      <c r="B279" s="191" t="s">
        <v>262</v>
      </c>
      <c r="C279" s="191" t="s">
        <v>14</v>
      </c>
      <c r="D279" s="191" t="s">
        <v>10</v>
      </c>
      <c r="E279" s="93" t="s">
        <v>263</v>
      </c>
      <c r="F279" s="249" t="s">
        <v>570</v>
      </c>
      <c r="G279" s="249" t="s">
        <v>773</v>
      </c>
      <c r="H279" s="265">
        <v>11</v>
      </c>
      <c r="I279" s="265">
        <v>1658</v>
      </c>
      <c r="J279" s="265">
        <f t="shared" si="71"/>
        <v>150.72727272727272</v>
      </c>
      <c r="K279" s="265">
        <v>3</v>
      </c>
      <c r="L279" s="265">
        <v>0</v>
      </c>
      <c r="M279" s="266">
        <f t="shared" si="72"/>
        <v>1</v>
      </c>
      <c r="N279" s="266">
        <f t="shared" si="73"/>
        <v>0</v>
      </c>
      <c r="O279" s="265">
        <f t="shared" si="74"/>
        <v>3</v>
      </c>
      <c r="P279" s="297">
        <v>0</v>
      </c>
      <c r="Q279" s="265">
        <f t="shared" si="70"/>
        <v>3</v>
      </c>
      <c r="R279" s="270">
        <v>25</v>
      </c>
      <c r="S279" s="298">
        <f t="shared" si="75"/>
        <v>0.27272727272727271</v>
      </c>
      <c r="T279" s="298">
        <f t="shared" si="76"/>
        <v>0</v>
      </c>
      <c r="U279" s="201">
        <f t="shared" si="77"/>
        <v>0.27272727272727271</v>
      </c>
      <c r="V279" s="200" t="s">
        <v>736</v>
      </c>
    </row>
    <row r="280" spans="1:49" ht="14.5" x14ac:dyDescent="0.35">
      <c r="A280" s="190" t="s">
        <v>250</v>
      </c>
      <c r="B280" s="191" t="s">
        <v>264</v>
      </c>
      <c r="C280" s="191" t="s">
        <v>4</v>
      </c>
      <c r="D280" s="191" t="s">
        <v>5</v>
      </c>
      <c r="E280" s="93" t="s">
        <v>471</v>
      </c>
      <c r="F280" s="249" t="s">
        <v>584</v>
      </c>
      <c r="G280" s="249" t="s">
        <v>6</v>
      </c>
      <c r="H280" s="265">
        <v>456</v>
      </c>
      <c r="I280" s="265">
        <v>589506</v>
      </c>
      <c r="J280" s="265">
        <f t="shared" si="71"/>
        <v>1292.7763157894738</v>
      </c>
      <c r="K280" s="265">
        <v>4127</v>
      </c>
      <c r="L280" s="265">
        <v>491</v>
      </c>
      <c r="M280" s="266">
        <f t="shared" si="72"/>
        <v>0.89367691641403202</v>
      </c>
      <c r="N280" s="266">
        <f t="shared" si="73"/>
        <v>0.10632308358596795</v>
      </c>
      <c r="O280" s="265">
        <f t="shared" si="74"/>
        <v>4618</v>
      </c>
      <c r="P280" s="297">
        <v>634</v>
      </c>
      <c r="Q280" s="265">
        <f t="shared" si="70"/>
        <v>5252</v>
      </c>
      <c r="R280" s="270">
        <v>1526</v>
      </c>
      <c r="S280" s="298">
        <f t="shared" si="75"/>
        <v>9.0504385964912277</v>
      </c>
      <c r="T280" s="298">
        <f t="shared" si="76"/>
        <v>1.0767543859649122</v>
      </c>
      <c r="U280" s="201">
        <f t="shared" si="77"/>
        <v>11.517543859649123</v>
      </c>
      <c r="V280" s="197" t="s">
        <v>736</v>
      </c>
    </row>
    <row r="281" spans="1:49" ht="14.5" x14ac:dyDescent="0.35">
      <c r="A281" s="190" t="s">
        <v>250</v>
      </c>
      <c r="B281" s="191" t="s">
        <v>264</v>
      </c>
      <c r="C281" s="191" t="s">
        <v>9</v>
      </c>
      <c r="D281" s="191" t="s">
        <v>10</v>
      </c>
      <c r="E281" s="94" t="str">
        <f>HYPERLINK("https://youtube.com/CasaPresidencialSV","https://youtube.com/CasaPresidencialSV")</f>
        <v>https://youtube.com/CasaPresidencialSV</v>
      </c>
      <c r="F281" s="249" t="s">
        <v>365</v>
      </c>
      <c r="G281" s="249" t="s">
        <v>12</v>
      </c>
      <c r="H281" s="265">
        <v>399</v>
      </c>
      <c r="I281" s="265">
        <v>223826</v>
      </c>
      <c r="J281" s="265">
        <f t="shared" si="71"/>
        <v>560.96741854636593</v>
      </c>
      <c r="K281" s="265">
        <v>1370</v>
      </c>
      <c r="L281" s="265">
        <v>239</v>
      </c>
      <c r="M281" s="266">
        <f t="shared" si="72"/>
        <v>0.85146053449347425</v>
      </c>
      <c r="N281" s="266">
        <f t="shared" si="73"/>
        <v>0.1485394655065258</v>
      </c>
      <c r="O281" s="265">
        <f t="shared" si="74"/>
        <v>1609</v>
      </c>
      <c r="P281" s="297">
        <v>209</v>
      </c>
      <c r="Q281" s="265">
        <f t="shared" si="70"/>
        <v>1818</v>
      </c>
      <c r="R281" s="269">
        <v>864</v>
      </c>
      <c r="S281" s="298">
        <f t="shared" si="75"/>
        <v>3.4335839598997495</v>
      </c>
      <c r="T281" s="298">
        <f t="shared" si="76"/>
        <v>0.59899749373433586</v>
      </c>
      <c r="U281" s="201">
        <f t="shared" si="77"/>
        <v>4.5563909774436091</v>
      </c>
      <c r="V281" s="200" t="s">
        <v>736</v>
      </c>
    </row>
    <row r="282" spans="1:49" ht="14.5" x14ac:dyDescent="0.35">
      <c r="A282" s="190" t="s">
        <v>250</v>
      </c>
      <c r="B282" s="191" t="s">
        <v>264</v>
      </c>
      <c r="C282" s="191" t="s">
        <v>14</v>
      </c>
      <c r="D282" s="191" t="s">
        <v>10</v>
      </c>
      <c r="E282" s="94" t="str">
        <f>HYPERLINK("https://youtube.com/cancilleria1","https://youtube.com/cancilleria1")</f>
        <v>https://youtube.com/cancilleria1</v>
      </c>
      <c r="F282" s="249" t="s">
        <v>619</v>
      </c>
      <c r="G282" s="249" t="s">
        <v>12</v>
      </c>
      <c r="H282" s="265">
        <v>339</v>
      </c>
      <c r="I282" s="265">
        <v>103888</v>
      </c>
      <c r="J282" s="265">
        <f t="shared" si="71"/>
        <v>306.45427728613572</v>
      </c>
      <c r="K282" s="265">
        <v>491</v>
      </c>
      <c r="L282" s="265">
        <v>29</v>
      </c>
      <c r="M282" s="266">
        <f t="shared" si="72"/>
        <v>0.94423076923076921</v>
      </c>
      <c r="N282" s="266">
        <f t="shared" si="73"/>
        <v>5.5769230769230772E-2</v>
      </c>
      <c r="O282" s="265">
        <f t="shared" si="74"/>
        <v>520</v>
      </c>
      <c r="P282" s="297">
        <v>39</v>
      </c>
      <c r="Q282" s="265">
        <f t="shared" si="70"/>
        <v>559</v>
      </c>
      <c r="R282" s="269">
        <v>423</v>
      </c>
      <c r="S282" s="298">
        <f t="shared" si="75"/>
        <v>1.4483775811209441</v>
      </c>
      <c r="T282" s="298">
        <f t="shared" si="76"/>
        <v>8.5545722713864306E-2</v>
      </c>
      <c r="U282" s="201">
        <f t="shared" si="77"/>
        <v>1.6489675516224189</v>
      </c>
      <c r="V282" s="200" t="s">
        <v>736</v>
      </c>
    </row>
    <row r="283" spans="1:49" ht="14.5" x14ac:dyDescent="0.35">
      <c r="A283" s="190" t="s">
        <v>250</v>
      </c>
      <c r="B283" s="191" t="s">
        <v>265</v>
      </c>
      <c r="C283" s="191" t="s">
        <v>13</v>
      </c>
      <c r="D283" s="191" t="s">
        <v>10</v>
      </c>
      <c r="E283" s="94" t="str">
        <f>HYPERLINK("https://youtube.com/govgd","https://youtube.com/govgd")</f>
        <v>https://youtube.com/govgd</v>
      </c>
      <c r="F283" s="249" t="s">
        <v>364</v>
      </c>
      <c r="G283" s="249" t="s">
        <v>12</v>
      </c>
      <c r="H283" s="265">
        <v>1800</v>
      </c>
      <c r="I283" s="265">
        <v>329491</v>
      </c>
      <c r="J283" s="265">
        <f t="shared" si="71"/>
        <v>183.05055555555555</v>
      </c>
      <c r="K283" s="265">
        <v>1133</v>
      </c>
      <c r="L283" s="265">
        <v>56</v>
      </c>
      <c r="M283" s="266">
        <f t="shared" si="72"/>
        <v>0.95290159798149709</v>
      </c>
      <c r="N283" s="266">
        <f t="shared" si="73"/>
        <v>4.7098402018502947E-2</v>
      </c>
      <c r="O283" s="265">
        <f t="shared" si="74"/>
        <v>1189</v>
      </c>
      <c r="P283" s="297">
        <v>189</v>
      </c>
      <c r="Q283" s="265">
        <f t="shared" si="70"/>
        <v>1378</v>
      </c>
      <c r="R283" s="269">
        <v>535</v>
      </c>
      <c r="S283" s="298">
        <f t="shared" si="75"/>
        <v>0.62944444444444447</v>
      </c>
      <c r="T283" s="298">
        <f t="shared" si="76"/>
        <v>3.111111111111111E-2</v>
      </c>
      <c r="U283" s="201">
        <f t="shared" si="77"/>
        <v>0.76555555555555554</v>
      </c>
      <c r="V283" s="200" t="s">
        <v>736</v>
      </c>
    </row>
    <row r="284" spans="1:49" ht="14.5" x14ac:dyDescent="0.35">
      <c r="A284" s="255" t="s">
        <v>250</v>
      </c>
      <c r="B284" s="256" t="s">
        <v>266</v>
      </c>
      <c r="C284" s="256" t="s">
        <v>4</v>
      </c>
      <c r="D284" s="256" t="s">
        <v>5</v>
      </c>
      <c r="E284" s="93" t="s">
        <v>472</v>
      </c>
      <c r="F284" s="249" t="s">
        <v>516</v>
      </c>
      <c r="G284" s="249" t="s">
        <v>12</v>
      </c>
      <c r="H284" s="265">
        <v>30</v>
      </c>
      <c r="I284" s="265">
        <v>602520</v>
      </c>
      <c r="J284" s="265">
        <f t="shared" si="71"/>
        <v>20084</v>
      </c>
      <c r="K284" s="265">
        <v>9286</v>
      </c>
      <c r="L284" s="265">
        <v>267</v>
      </c>
      <c r="M284" s="266">
        <f t="shared" si="72"/>
        <v>0.97205066471265567</v>
      </c>
      <c r="N284" s="266">
        <f t="shared" si="73"/>
        <v>2.7949335287344289E-2</v>
      </c>
      <c r="O284" s="265">
        <f t="shared" si="74"/>
        <v>9553</v>
      </c>
      <c r="P284" s="297">
        <v>1485</v>
      </c>
      <c r="Q284" s="265">
        <f t="shared" si="70"/>
        <v>11038</v>
      </c>
      <c r="R284" s="270">
        <v>4579</v>
      </c>
      <c r="S284" s="298">
        <f t="shared" si="75"/>
        <v>309.53333333333336</v>
      </c>
      <c r="T284" s="298">
        <f t="shared" si="76"/>
        <v>8.9</v>
      </c>
      <c r="U284" s="201">
        <f t="shared" si="77"/>
        <v>367.93333333333334</v>
      </c>
      <c r="V284" s="200" t="s">
        <v>736</v>
      </c>
    </row>
    <row r="285" spans="1:49" ht="14.5" x14ac:dyDescent="0.35">
      <c r="A285" s="190" t="s">
        <v>250</v>
      </c>
      <c r="B285" s="191" t="s">
        <v>266</v>
      </c>
      <c r="C285" s="191" t="s">
        <v>13</v>
      </c>
      <c r="D285" s="191" t="s">
        <v>10</v>
      </c>
      <c r="E285" s="94" t="str">
        <f>HYPERLINK("https://youtube.com/GobiernodeGuatemala","https://youtube.com/GobiernodeGuatemala")</f>
        <v>https://youtube.com/GobiernodeGuatemala</v>
      </c>
      <c r="F285" s="249" t="s">
        <v>267</v>
      </c>
      <c r="G285" s="249" t="s">
        <v>12</v>
      </c>
      <c r="H285" s="265">
        <v>1914</v>
      </c>
      <c r="I285" s="265">
        <v>1330351</v>
      </c>
      <c r="J285" s="265">
        <f t="shared" si="71"/>
        <v>695.06321839080465</v>
      </c>
      <c r="K285" s="265">
        <v>6121</v>
      </c>
      <c r="L285" s="265">
        <v>1766</v>
      </c>
      <c r="M285" s="266">
        <f t="shared" si="72"/>
        <v>0.77608723215417774</v>
      </c>
      <c r="N285" s="266">
        <f t="shared" si="73"/>
        <v>0.22391276784582223</v>
      </c>
      <c r="O285" s="265">
        <f t="shared" si="74"/>
        <v>7887</v>
      </c>
      <c r="P285" s="297">
        <v>508</v>
      </c>
      <c r="Q285" s="265">
        <f t="shared" si="70"/>
        <v>8395</v>
      </c>
      <c r="R285" s="269">
        <v>2894</v>
      </c>
      <c r="S285" s="298">
        <f t="shared" si="75"/>
        <v>3.1980146290491116</v>
      </c>
      <c r="T285" s="298">
        <f t="shared" si="76"/>
        <v>0.92267502612330199</v>
      </c>
      <c r="U285" s="201">
        <f t="shared" si="77"/>
        <v>4.3861024033437825</v>
      </c>
      <c r="V285" s="200" t="s">
        <v>736</v>
      </c>
    </row>
    <row r="286" spans="1:49" ht="14.5" x14ac:dyDescent="0.35">
      <c r="A286" s="190" t="s">
        <v>250</v>
      </c>
      <c r="B286" s="191" t="s">
        <v>268</v>
      </c>
      <c r="C286" s="191" t="s">
        <v>4</v>
      </c>
      <c r="D286" s="191" t="s">
        <v>5</v>
      </c>
      <c r="E286" s="94" t="str">
        <f>HYPERLINK("https://youtube.com/martelly2010","https://youtube.com/martelly2010")</f>
        <v>https://youtube.com/martelly2010</v>
      </c>
      <c r="F286" s="249" t="s">
        <v>823</v>
      </c>
      <c r="G286" s="249" t="s">
        <v>6</v>
      </c>
      <c r="H286" s="265">
        <v>56</v>
      </c>
      <c r="I286" s="265">
        <v>295035</v>
      </c>
      <c r="J286" s="265">
        <f t="shared" si="71"/>
        <v>5268.4821428571431</v>
      </c>
      <c r="K286" s="265">
        <v>180</v>
      </c>
      <c r="L286" s="265">
        <v>13</v>
      </c>
      <c r="M286" s="266">
        <f t="shared" si="72"/>
        <v>0.93264248704663211</v>
      </c>
      <c r="N286" s="266">
        <f t="shared" si="73"/>
        <v>6.7357512953367879E-2</v>
      </c>
      <c r="O286" s="265">
        <f t="shared" si="74"/>
        <v>193</v>
      </c>
      <c r="P286" s="297">
        <v>10</v>
      </c>
      <c r="Q286" s="265">
        <f t="shared" si="70"/>
        <v>203</v>
      </c>
      <c r="R286" s="269">
        <v>219</v>
      </c>
      <c r="S286" s="298">
        <f t="shared" si="75"/>
        <v>3.2142857142857144</v>
      </c>
      <c r="T286" s="298">
        <f t="shared" si="76"/>
        <v>0.23214285714285715</v>
      </c>
      <c r="U286" s="201">
        <f t="shared" si="77"/>
        <v>3.625</v>
      </c>
      <c r="V286" s="200" t="s">
        <v>736</v>
      </c>
    </row>
    <row r="287" spans="1:49" ht="14.5" x14ac:dyDescent="0.35">
      <c r="A287" s="196" t="s">
        <v>250</v>
      </c>
      <c r="B287" s="197" t="s">
        <v>268</v>
      </c>
      <c r="C287" s="197" t="s">
        <v>7</v>
      </c>
      <c r="D287" s="197" t="s">
        <v>5</v>
      </c>
      <c r="E287" s="98" t="s">
        <v>473</v>
      </c>
      <c r="F287" s="249" t="s">
        <v>517</v>
      </c>
      <c r="G287" s="249" t="s">
        <v>12</v>
      </c>
      <c r="H287" s="265">
        <v>176</v>
      </c>
      <c r="I287" s="265">
        <v>162100</v>
      </c>
      <c r="J287" s="265">
        <f t="shared" si="71"/>
        <v>921.02272727272725</v>
      </c>
      <c r="K287" s="265">
        <v>753</v>
      </c>
      <c r="L287" s="265">
        <v>84</v>
      </c>
      <c r="M287" s="266">
        <f t="shared" si="72"/>
        <v>0.89964157706093195</v>
      </c>
      <c r="N287" s="266">
        <f t="shared" si="73"/>
        <v>0.1003584229390681</v>
      </c>
      <c r="O287" s="265">
        <f t="shared" si="74"/>
        <v>837</v>
      </c>
      <c r="P287" s="297">
        <v>72</v>
      </c>
      <c r="Q287" s="265">
        <f t="shared" si="70"/>
        <v>909</v>
      </c>
      <c r="R287" s="271">
        <v>478</v>
      </c>
      <c r="S287" s="298">
        <f t="shared" si="75"/>
        <v>4.2784090909090908</v>
      </c>
      <c r="T287" s="298">
        <f t="shared" si="76"/>
        <v>0.47727272727272729</v>
      </c>
      <c r="U287" s="201">
        <f t="shared" si="77"/>
        <v>5.1647727272727275</v>
      </c>
      <c r="V287" s="200" t="s">
        <v>736</v>
      </c>
    </row>
    <row r="288" spans="1:49" ht="14.5" x14ac:dyDescent="0.35">
      <c r="A288" s="250" t="s">
        <v>250</v>
      </c>
      <c r="B288" s="191" t="s">
        <v>268</v>
      </c>
      <c r="C288" s="191" t="s">
        <v>13</v>
      </c>
      <c r="D288" s="191" t="s">
        <v>10</v>
      </c>
      <c r="E288" s="93" t="s">
        <v>269</v>
      </c>
      <c r="F288" s="249" t="s">
        <v>568</v>
      </c>
      <c r="G288" s="249" t="s">
        <v>6</v>
      </c>
      <c r="H288" s="265">
        <v>2</v>
      </c>
      <c r="I288" s="265">
        <v>546</v>
      </c>
      <c r="J288" s="265">
        <f t="shared" si="71"/>
        <v>273</v>
      </c>
      <c r="K288" s="265">
        <v>1</v>
      </c>
      <c r="L288" s="265">
        <v>0</v>
      </c>
      <c r="M288" s="266">
        <f t="shared" si="72"/>
        <v>1</v>
      </c>
      <c r="N288" s="266">
        <f t="shared" si="73"/>
        <v>0</v>
      </c>
      <c r="O288" s="265">
        <f t="shared" si="74"/>
        <v>1</v>
      </c>
      <c r="P288" s="297">
        <v>0</v>
      </c>
      <c r="Q288" s="265">
        <f t="shared" si="70"/>
        <v>1</v>
      </c>
      <c r="R288" s="270">
        <v>1</v>
      </c>
      <c r="S288" s="298">
        <f t="shared" si="75"/>
        <v>0.5</v>
      </c>
      <c r="T288" s="298">
        <f t="shared" si="76"/>
        <v>0</v>
      </c>
      <c r="U288" s="201">
        <f t="shared" si="77"/>
        <v>0.5</v>
      </c>
      <c r="V288" s="197" t="s">
        <v>736</v>
      </c>
    </row>
    <row r="289" spans="1:22" ht="14.5" x14ac:dyDescent="0.35">
      <c r="A289" s="190" t="s">
        <v>250</v>
      </c>
      <c r="B289" s="191" t="s">
        <v>268</v>
      </c>
      <c r="C289" s="191" t="s">
        <v>14</v>
      </c>
      <c r="D289" s="191" t="s">
        <v>10</v>
      </c>
      <c r="E289" s="93" t="s">
        <v>270</v>
      </c>
      <c r="F289" s="249" t="s">
        <v>574</v>
      </c>
      <c r="G289" s="249" t="s">
        <v>6</v>
      </c>
      <c r="H289" s="265">
        <v>3</v>
      </c>
      <c r="I289" s="265">
        <v>50</v>
      </c>
      <c r="J289" s="265">
        <f t="shared" si="71"/>
        <v>16.666666666666668</v>
      </c>
      <c r="K289" s="265">
        <v>0</v>
      </c>
      <c r="L289" s="265">
        <v>0</v>
      </c>
      <c r="M289" s="265">
        <v>0</v>
      </c>
      <c r="N289" s="265">
        <v>0</v>
      </c>
      <c r="O289" s="265">
        <v>0</v>
      </c>
      <c r="P289" s="297">
        <v>0</v>
      </c>
      <c r="Q289" s="265">
        <f t="shared" si="70"/>
        <v>0</v>
      </c>
      <c r="R289" s="270">
        <v>1</v>
      </c>
      <c r="S289" s="298">
        <f t="shared" si="75"/>
        <v>0</v>
      </c>
      <c r="T289" s="298">
        <f t="shared" si="76"/>
        <v>0</v>
      </c>
      <c r="U289" s="201">
        <f t="shared" si="77"/>
        <v>0</v>
      </c>
      <c r="V289" s="200" t="s">
        <v>736</v>
      </c>
    </row>
    <row r="290" spans="1:22" ht="14.5" x14ac:dyDescent="0.35">
      <c r="A290" s="190" t="s">
        <v>250</v>
      </c>
      <c r="B290" s="193" t="s">
        <v>271</v>
      </c>
      <c r="C290" s="193" t="s">
        <v>4</v>
      </c>
      <c r="D290" s="191" t="s">
        <v>5</v>
      </c>
      <c r="E290" s="98" t="s">
        <v>474</v>
      </c>
      <c r="F290" s="249" t="s">
        <v>518</v>
      </c>
      <c r="G290" s="249" t="s">
        <v>12</v>
      </c>
      <c r="H290" s="265">
        <v>933</v>
      </c>
      <c r="I290" s="265">
        <v>467747</v>
      </c>
      <c r="J290" s="265">
        <f t="shared" si="71"/>
        <v>501.33654876741696</v>
      </c>
      <c r="K290" s="265">
        <v>4478</v>
      </c>
      <c r="L290" s="265">
        <v>789</v>
      </c>
      <c r="M290" s="266">
        <f t="shared" ref="M290:M299" si="78">SUM(K290)/O290</f>
        <v>0.85019935447123596</v>
      </c>
      <c r="N290" s="266">
        <f t="shared" ref="N290:N299" si="79">SUM(L290)/O290</f>
        <v>0.14980064552876401</v>
      </c>
      <c r="O290" s="265">
        <f t="shared" ref="O290:O299" si="80">SUM(K290:L290)</f>
        <v>5267</v>
      </c>
      <c r="P290" s="297">
        <v>816</v>
      </c>
      <c r="Q290" s="265">
        <f t="shared" si="70"/>
        <v>6083</v>
      </c>
      <c r="R290" s="271">
        <v>1759</v>
      </c>
      <c r="S290" s="298">
        <f t="shared" si="75"/>
        <v>4.79957127545552</v>
      </c>
      <c r="T290" s="298">
        <f t="shared" si="76"/>
        <v>0.84565916398713825</v>
      </c>
      <c r="U290" s="201">
        <f t="shared" si="77"/>
        <v>6.519828510182208</v>
      </c>
      <c r="V290" s="200" t="s">
        <v>736</v>
      </c>
    </row>
    <row r="291" spans="1:22" ht="14.5" x14ac:dyDescent="0.35">
      <c r="A291" s="190" t="s">
        <v>250</v>
      </c>
      <c r="B291" s="191" t="s">
        <v>272</v>
      </c>
      <c r="C291" s="191" t="s">
        <v>13</v>
      </c>
      <c r="D291" s="191" t="s">
        <v>10</v>
      </c>
      <c r="E291" s="93" t="s">
        <v>273</v>
      </c>
      <c r="F291" s="249" t="s">
        <v>596</v>
      </c>
      <c r="G291" s="249" t="s">
        <v>6</v>
      </c>
      <c r="H291" s="265">
        <v>3</v>
      </c>
      <c r="I291" s="265">
        <v>243</v>
      </c>
      <c r="J291" s="265">
        <f t="shared" si="71"/>
        <v>81</v>
      </c>
      <c r="K291" s="265">
        <v>1</v>
      </c>
      <c r="L291" s="265">
        <v>1</v>
      </c>
      <c r="M291" s="266">
        <f t="shared" si="78"/>
        <v>0.5</v>
      </c>
      <c r="N291" s="266">
        <f t="shared" si="79"/>
        <v>0.5</v>
      </c>
      <c r="O291" s="265">
        <f t="shared" si="80"/>
        <v>2</v>
      </c>
      <c r="P291" s="297">
        <v>0</v>
      </c>
      <c r="Q291" s="265">
        <f t="shared" si="70"/>
        <v>2</v>
      </c>
      <c r="R291" s="270">
        <v>1</v>
      </c>
      <c r="S291" s="298">
        <f t="shared" si="75"/>
        <v>0.33333333333333331</v>
      </c>
      <c r="T291" s="298">
        <f t="shared" si="76"/>
        <v>0.33333333333333331</v>
      </c>
      <c r="U291" s="201">
        <f t="shared" si="77"/>
        <v>0.66666666666666663</v>
      </c>
      <c r="V291" s="200" t="s">
        <v>736</v>
      </c>
    </row>
    <row r="292" spans="1:22" ht="14.5" x14ac:dyDescent="0.35">
      <c r="A292" s="190" t="s">
        <v>250</v>
      </c>
      <c r="B292" s="191" t="s">
        <v>274</v>
      </c>
      <c r="C292" s="191" t="s">
        <v>4</v>
      </c>
      <c r="D292" s="191" t="s">
        <v>5</v>
      </c>
      <c r="E292" s="94" t="str">
        <f>HYPERLINK("https://youtube.com/EnriquePenaNietoTV","https://youtube.com/EnriquePenaNietoTV")</f>
        <v>https://youtube.com/EnriquePenaNietoTV</v>
      </c>
      <c r="F292" s="249" t="s">
        <v>519</v>
      </c>
      <c r="G292" s="249" t="s">
        <v>12</v>
      </c>
      <c r="H292" s="265">
        <v>1324</v>
      </c>
      <c r="I292" s="265">
        <v>19894061</v>
      </c>
      <c r="J292" s="265">
        <f t="shared" si="71"/>
        <v>15025.725830815711</v>
      </c>
      <c r="K292" s="265">
        <v>72680</v>
      </c>
      <c r="L292" s="265">
        <v>383720</v>
      </c>
      <c r="M292" s="266">
        <f t="shared" si="78"/>
        <v>0.15924627519719545</v>
      </c>
      <c r="N292" s="266">
        <f t="shared" si="79"/>
        <v>0.84075372480280453</v>
      </c>
      <c r="O292" s="265">
        <f t="shared" si="80"/>
        <v>456400</v>
      </c>
      <c r="P292" s="297">
        <v>2953</v>
      </c>
      <c r="Q292" s="265">
        <f t="shared" si="70"/>
        <v>459353</v>
      </c>
      <c r="R292" s="269">
        <v>14314</v>
      </c>
      <c r="S292" s="298">
        <f t="shared" si="75"/>
        <v>54.894259818731115</v>
      </c>
      <c r="T292" s="298">
        <f t="shared" si="76"/>
        <v>289.81873111782477</v>
      </c>
      <c r="U292" s="201">
        <f t="shared" si="77"/>
        <v>346.94335347432025</v>
      </c>
      <c r="V292" s="200" t="s">
        <v>736</v>
      </c>
    </row>
    <row r="293" spans="1:22" ht="14.5" x14ac:dyDescent="0.35">
      <c r="A293" s="196" t="s">
        <v>250</v>
      </c>
      <c r="B293" s="191" t="s">
        <v>274</v>
      </c>
      <c r="C293" s="191" t="s">
        <v>9</v>
      </c>
      <c r="D293" s="191" t="s">
        <v>10</v>
      </c>
      <c r="E293" s="95" t="s">
        <v>680</v>
      </c>
      <c r="F293" s="249" t="s">
        <v>747</v>
      </c>
      <c r="G293" s="249" t="s">
        <v>12</v>
      </c>
      <c r="H293" s="265">
        <v>6042</v>
      </c>
      <c r="I293" s="265">
        <v>68329120</v>
      </c>
      <c r="J293" s="265">
        <f t="shared" si="71"/>
        <v>11309.023502151605</v>
      </c>
      <c r="K293" s="265">
        <v>54503</v>
      </c>
      <c r="L293" s="265">
        <v>23494</v>
      </c>
      <c r="M293" s="266">
        <f t="shared" si="78"/>
        <v>0.69878328653666166</v>
      </c>
      <c r="N293" s="266">
        <f t="shared" si="79"/>
        <v>0.30121671346333834</v>
      </c>
      <c r="O293" s="265">
        <f t="shared" si="80"/>
        <v>77997</v>
      </c>
      <c r="P293" s="297">
        <v>741</v>
      </c>
      <c r="Q293" s="265">
        <f t="shared" si="70"/>
        <v>78738</v>
      </c>
      <c r="R293" s="270">
        <v>79270</v>
      </c>
      <c r="S293" s="298">
        <f t="shared" si="75"/>
        <v>9.0206885137371735</v>
      </c>
      <c r="T293" s="298">
        <f t="shared" si="76"/>
        <v>3.8884475339291624</v>
      </c>
      <c r="U293" s="201">
        <f t="shared" si="77"/>
        <v>13.031777557100298</v>
      </c>
      <c r="V293" s="200" t="s">
        <v>735</v>
      </c>
    </row>
    <row r="294" spans="1:22" ht="14.5" x14ac:dyDescent="0.35">
      <c r="A294" s="196" t="s">
        <v>250</v>
      </c>
      <c r="B294" s="197" t="s">
        <v>274</v>
      </c>
      <c r="C294" s="197" t="s">
        <v>14</v>
      </c>
      <c r="D294" s="197" t="s">
        <v>10</v>
      </c>
      <c r="E294" s="95" t="s">
        <v>475</v>
      </c>
      <c r="F294" s="249" t="s">
        <v>779</v>
      </c>
      <c r="G294" s="249" t="s">
        <v>12</v>
      </c>
      <c r="H294" s="265">
        <v>656</v>
      </c>
      <c r="I294" s="265">
        <v>545838</v>
      </c>
      <c r="J294" s="265">
        <f t="shared" si="71"/>
        <v>832.07012195121956</v>
      </c>
      <c r="K294" s="265">
        <v>325</v>
      </c>
      <c r="L294" s="265">
        <v>19</v>
      </c>
      <c r="M294" s="266">
        <f t="shared" si="78"/>
        <v>0.94476744186046513</v>
      </c>
      <c r="N294" s="266">
        <f t="shared" si="79"/>
        <v>5.5232558139534885E-2</v>
      </c>
      <c r="O294" s="265">
        <f t="shared" si="80"/>
        <v>344</v>
      </c>
      <c r="P294" s="297">
        <v>46</v>
      </c>
      <c r="Q294" s="265">
        <f t="shared" si="70"/>
        <v>390</v>
      </c>
      <c r="R294" s="299">
        <v>1629</v>
      </c>
      <c r="S294" s="298">
        <f t="shared" si="75"/>
        <v>0.49542682926829268</v>
      </c>
      <c r="T294" s="298">
        <f t="shared" si="76"/>
        <v>2.8963414634146343E-2</v>
      </c>
      <c r="U294" s="201">
        <f t="shared" si="77"/>
        <v>0.59451219512195119</v>
      </c>
      <c r="V294" s="200" t="s">
        <v>736</v>
      </c>
    </row>
    <row r="295" spans="1:22" ht="14.5" x14ac:dyDescent="0.35">
      <c r="A295" s="196" t="s">
        <v>250</v>
      </c>
      <c r="B295" s="197" t="s">
        <v>276</v>
      </c>
      <c r="C295" s="197" t="s">
        <v>4</v>
      </c>
      <c r="D295" s="197" t="s">
        <v>5</v>
      </c>
      <c r="E295" s="95" t="s">
        <v>476</v>
      </c>
      <c r="F295" s="249" t="s">
        <v>520</v>
      </c>
      <c r="G295" s="249" t="s">
        <v>6</v>
      </c>
      <c r="H295" s="265">
        <v>280</v>
      </c>
      <c r="I295" s="265">
        <v>228114</v>
      </c>
      <c r="J295" s="265">
        <f t="shared" si="71"/>
        <v>814.69285714285718</v>
      </c>
      <c r="K295" s="265">
        <v>1752</v>
      </c>
      <c r="L295" s="265">
        <v>398</v>
      </c>
      <c r="M295" s="266">
        <f t="shared" si="78"/>
        <v>0.81488372093023254</v>
      </c>
      <c r="N295" s="266">
        <f t="shared" si="79"/>
        <v>0.18511627906976744</v>
      </c>
      <c r="O295" s="265">
        <f t="shared" si="80"/>
        <v>2150</v>
      </c>
      <c r="P295" s="297">
        <v>158</v>
      </c>
      <c r="Q295" s="265">
        <f t="shared" si="70"/>
        <v>2308</v>
      </c>
      <c r="R295" s="271">
        <v>886</v>
      </c>
      <c r="S295" s="298">
        <f t="shared" si="75"/>
        <v>6.2571428571428571</v>
      </c>
      <c r="T295" s="298">
        <f t="shared" si="76"/>
        <v>1.4214285714285715</v>
      </c>
      <c r="U295" s="201">
        <f t="shared" si="77"/>
        <v>8.242857142857142</v>
      </c>
      <c r="V295" s="200" t="s">
        <v>736</v>
      </c>
    </row>
    <row r="296" spans="1:22" ht="14.5" x14ac:dyDescent="0.35">
      <c r="A296" s="190" t="s">
        <v>250</v>
      </c>
      <c r="B296" s="191" t="s">
        <v>276</v>
      </c>
      <c r="C296" s="191" t="s">
        <v>9</v>
      </c>
      <c r="D296" s="191" t="s">
        <v>10</v>
      </c>
      <c r="E296" s="94" t="str">
        <f>HYPERLINK("https://youtube.com/GobiernoNacionalPTY","https://youtube.com/GobiernoNacionalPTY")</f>
        <v>https://youtube.com/GobiernoNacionalPTY</v>
      </c>
      <c r="F296" s="249" t="s">
        <v>362</v>
      </c>
      <c r="G296" s="249" t="s">
        <v>12</v>
      </c>
      <c r="H296" s="265">
        <v>2809</v>
      </c>
      <c r="I296" s="265">
        <v>1539092</v>
      </c>
      <c r="J296" s="265">
        <f t="shared" si="71"/>
        <v>547.9145603417586</v>
      </c>
      <c r="K296" s="265">
        <v>3058</v>
      </c>
      <c r="L296" s="265">
        <v>484</v>
      </c>
      <c r="M296" s="266">
        <f t="shared" si="78"/>
        <v>0.86335403726708071</v>
      </c>
      <c r="N296" s="266">
        <f t="shared" si="79"/>
        <v>0.13664596273291926</v>
      </c>
      <c r="O296" s="265">
        <f t="shared" si="80"/>
        <v>3542</v>
      </c>
      <c r="P296" s="297">
        <v>760</v>
      </c>
      <c r="Q296" s="265">
        <f t="shared" si="70"/>
        <v>4302</v>
      </c>
      <c r="R296" s="269">
        <v>2504</v>
      </c>
      <c r="S296" s="298">
        <f t="shared" si="75"/>
        <v>1.0886436454254182</v>
      </c>
      <c r="T296" s="298">
        <f t="shared" si="76"/>
        <v>0.17230331078675684</v>
      </c>
      <c r="U296" s="201">
        <f t="shared" si="77"/>
        <v>1.5315058739765042</v>
      </c>
      <c r="V296" s="200" t="s">
        <v>736</v>
      </c>
    </row>
    <row r="297" spans="1:22" ht="14.5" x14ac:dyDescent="0.35">
      <c r="A297" s="190" t="s">
        <v>250</v>
      </c>
      <c r="B297" s="191" t="s">
        <v>276</v>
      </c>
      <c r="C297" s="191" t="s">
        <v>14</v>
      </c>
      <c r="D297" s="191" t="s">
        <v>10</v>
      </c>
      <c r="E297" s="94" t="str">
        <f>HYPERLINK("https://youtube.com/minrexpanama","https://youtube.com/minrexpanama")</f>
        <v>https://youtube.com/minrexpanama</v>
      </c>
      <c r="F297" s="249" t="s">
        <v>402</v>
      </c>
      <c r="G297" s="249" t="s">
        <v>12</v>
      </c>
      <c r="H297" s="265">
        <v>550</v>
      </c>
      <c r="I297" s="265">
        <v>31667</v>
      </c>
      <c r="J297" s="265">
        <f t="shared" si="71"/>
        <v>57.576363636363638</v>
      </c>
      <c r="K297" s="265">
        <v>88</v>
      </c>
      <c r="L297" s="265">
        <v>15</v>
      </c>
      <c r="M297" s="266">
        <f t="shared" si="78"/>
        <v>0.85436893203883491</v>
      </c>
      <c r="N297" s="266">
        <f t="shared" si="79"/>
        <v>0.14563106796116504</v>
      </c>
      <c r="O297" s="265">
        <f t="shared" si="80"/>
        <v>103</v>
      </c>
      <c r="P297" s="297">
        <v>8</v>
      </c>
      <c r="Q297" s="265">
        <f t="shared" si="70"/>
        <v>111</v>
      </c>
      <c r="R297" s="269">
        <v>57</v>
      </c>
      <c r="S297" s="298">
        <f t="shared" si="75"/>
        <v>0.16</v>
      </c>
      <c r="T297" s="298">
        <f t="shared" si="76"/>
        <v>2.7272727272727271E-2</v>
      </c>
      <c r="U297" s="201">
        <f t="shared" si="77"/>
        <v>0.20181818181818181</v>
      </c>
      <c r="V297" s="200" t="s">
        <v>736</v>
      </c>
    </row>
    <row r="298" spans="1:22" x14ac:dyDescent="0.35">
      <c r="A298" s="190" t="s">
        <v>250</v>
      </c>
      <c r="B298" s="191" t="s">
        <v>277</v>
      </c>
      <c r="C298" s="191" t="s">
        <v>278</v>
      </c>
      <c r="D298" s="191" t="s">
        <v>10</v>
      </c>
      <c r="E298" s="267" t="s">
        <v>477</v>
      </c>
      <c r="F298" s="249" t="s">
        <v>541</v>
      </c>
      <c r="G298" s="249" t="s">
        <v>12</v>
      </c>
      <c r="H298" s="265">
        <v>775</v>
      </c>
      <c r="I298" s="265">
        <v>1143013</v>
      </c>
      <c r="J298" s="265">
        <f t="shared" si="71"/>
        <v>1474.8554838709676</v>
      </c>
      <c r="K298" s="265">
        <v>5216</v>
      </c>
      <c r="L298" s="265">
        <v>871</v>
      </c>
      <c r="M298" s="266">
        <f t="shared" si="78"/>
        <v>0.85690816494167898</v>
      </c>
      <c r="N298" s="266">
        <f t="shared" si="79"/>
        <v>0.14309183505832102</v>
      </c>
      <c r="O298" s="265">
        <f t="shared" si="80"/>
        <v>6087</v>
      </c>
      <c r="P298" s="297">
        <v>2355</v>
      </c>
      <c r="Q298" s="265">
        <f t="shared" si="70"/>
        <v>8442</v>
      </c>
      <c r="R298" s="271">
        <v>2453</v>
      </c>
      <c r="S298" s="298">
        <f t="shared" si="75"/>
        <v>6.7303225806451614</v>
      </c>
      <c r="T298" s="298">
        <f t="shared" si="76"/>
        <v>1.1238709677419354</v>
      </c>
      <c r="U298" s="201">
        <f t="shared" si="77"/>
        <v>10.892903225806451</v>
      </c>
      <c r="V298" s="197" t="s">
        <v>736</v>
      </c>
    </row>
    <row r="299" spans="1:22" ht="14.5" x14ac:dyDescent="0.35">
      <c r="A299" s="190" t="s">
        <v>250</v>
      </c>
      <c r="B299" s="191" t="s">
        <v>280</v>
      </c>
      <c r="C299" s="191" t="s">
        <v>13</v>
      </c>
      <c r="D299" s="191" t="s">
        <v>10</v>
      </c>
      <c r="E299" s="97" t="s">
        <v>731</v>
      </c>
      <c r="F299" s="249" t="s">
        <v>840</v>
      </c>
      <c r="G299" s="249" t="s">
        <v>12</v>
      </c>
      <c r="H299" s="265">
        <v>346</v>
      </c>
      <c r="I299" s="265">
        <v>34205</v>
      </c>
      <c r="J299" s="265">
        <f t="shared" si="71"/>
        <v>98.858381502890168</v>
      </c>
      <c r="K299" s="265">
        <v>117</v>
      </c>
      <c r="L299" s="265">
        <v>22</v>
      </c>
      <c r="M299" s="266">
        <f t="shared" si="78"/>
        <v>0.84172661870503596</v>
      </c>
      <c r="N299" s="266">
        <f t="shared" si="79"/>
        <v>0.15827338129496402</v>
      </c>
      <c r="O299" s="265">
        <f t="shared" si="80"/>
        <v>139</v>
      </c>
      <c r="P299" s="297">
        <v>9</v>
      </c>
      <c r="Q299" s="265">
        <f t="shared" si="70"/>
        <v>148</v>
      </c>
      <c r="R299" s="271">
        <v>148</v>
      </c>
      <c r="S299" s="298">
        <f t="shared" si="75"/>
        <v>0.33815028901734107</v>
      </c>
      <c r="T299" s="298">
        <f t="shared" si="76"/>
        <v>6.358381502890173E-2</v>
      </c>
      <c r="U299" s="201">
        <f t="shared" si="77"/>
        <v>0.4277456647398844</v>
      </c>
      <c r="V299" s="197" t="s">
        <v>736</v>
      </c>
    </row>
    <row r="300" spans="1:22" ht="14.5" x14ac:dyDescent="0.35">
      <c r="A300" s="190" t="s">
        <v>250</v>
      </c>
      <c r="B300" s="191" t="s">
        <v>281</v>
      </c>
      <c r="C300" s="191" t="s">
        <v>13</v>
      </c>
      <c r="D300" s="191" t="s">
        <v>10</v>
      </c>
      <c r="E300" s="93" t="s">
        <v>478</v>
      </c>
      <c r="F300" s="249" t="s">
        <v>560</v>
      </c>
      <c r="G300" s="249" t="s">
        <v>6</v>
      </c>
      <c r="H300" s="265">
        <v>6</v>
      </c>
      <c r="I300" s="265">
        <v>1042</v>
      </c>
      <c r="J300" s="265">
        <f t="shared" si="71"/>
        <v>173.66666666666666</v>
      </c>
      <c r="K300" s="265">
        <v>0</v>
      </c>
      <c r="L300" s="265">
        <v>0</v>
      </c>
      <c r="M300" s="265">
        <v>0</v>
      </c>
      <c r="N300" s="265">
        <v>0</v>
      </c>
      <c r="O300" s="265">
        <v>0</v>
      </c>
      <c r="P300" s="297">
        <v>0</v>
      </c>
      <c r="Q300" s="265">
        <f t="shared" si="70"/>
        <v>0</v>
      </c>
      <c r="R300" s="270">
        <v>35</v>
      </c>
      <c r="S300" s="298">
        <f t="shared" si="75"/>
        <v>0</v>
      </c>
      <c r="T300" s="298">
        <f t="shared" si="76"/>
        <v>0</v>
      </c>
      <c r="U300" s="201">
        <f t="shared" si="77"/>
        <v>0</v>
      </c>
      <c r="V300" s="197" t="s">
        <v>736</v>
      </c>
    </row>
    <row r="301" spans="1:22" x14ac:dyDescent="0.35">
      <c r="A301" s="262" t="s">
        <v>250</v>
      </c>
      <c r="B301" s="259" t="s">
        <v>282</v>
      </c>
      <c r="C301" s="259" t="s">
        <v>7</v>
      </c>
      <c r="D301" s="259" t="s">
        <v>5</v>
      </c>
      <c r="E301" s="67" t="s">
        <v>717</v>
      </c>
      <c r="F301" s="249" t="s">
        <v>800</v>
      </c>
      <c r="G301" s="249" t="s">
        <v>12</v>
      </c>
      <c r="H301" s="265">
        <v>110</v>
      </c>
      <c r="I301" s="265">
        <v>46758</v>
      </c>
      <c r="J301" s="265">
        <f t="shared" ref="J301:J332" si="81">SUM(I301/H301)</f>
        <v>425.07272727272726</v>
      </c>
      <c r="K301" s="265">
        <v>207</v>
      </c>
      <c r="L301" s="265">
        <v>14</v>
      </c>
      <c r="M301" s="266">
        <f t="shared" ref="M301:M324" si="82">SUM(K301)/O301</f>
        <v>0.93665158371040724</v>
      </c>
      <c r="N301" s="266">
        <f t="shared" ref="N301:N324" si="83">SUM(L301)/O301</f>
        <v>6.3348416289592757E-2</v>
      </c>
      <c r="O301" s="265">
        <f t="shared" ref="O301:O324" si="84">SUM(K301:L301)</f>
        <v>221</v>
      </c>
      <c r="P301" s="297">
        <v>11</v>
      </c>
      <c r="Q301" s="265">
        <f t="shared" si="70"/>
        <v>232</v>
      </c>
      <c r="R301" s="271">
        <v>149</v>
      </c>
      <c r="S301" s="298">
        <f t="shared" ref="S301:S332" si="85">SUM(K301)/H301</f>
        <v>1.8818181818181818</v>
      </c>
      <c r="T301" s="298">
        <f t="shared" ref="T301:T332" si="86">SUM(L301)/H301</f>
        <v>0.12727272727272726</v>
      </c>
      <c r="U301" s="201">
        <f t="shared" ref="U301:U332" si="87">SUM(Q301)/(H301)</f>
        <v>2.1090909090909089</v>
      </c>
      <c r="V301" s="200" t="s">
        <v>736</v>
      </c>
    </row>
    <row r="302" spans="1:22" ht="14.5" x14ac:dyDescent="0.35">
      <c r="A302" s="255" t="s">
        <v>250</v>
      </c>
      <c r="B302" s="256" t="s">
        <v>283</v>
      </c>
      <c r="C302" s="256" t="s">
        <v>9</v>
      </c>
      <c r="D302" s="256" t="s">
        <v>10</v>
      </c>
      <c r="E302" s="95" t="s">
        <v>284</v>
      </c>
      <c r="F302" s="249" t="s">
        <v>521</v>
      </c>
      <c r="G302" s="249" t="s">
        <v>12</v>
      </c>
      <c r="H302" s="265">
        <v>16</v>
      </c>
      <c r="I302" s="265">
        <v>38241</v>
      </c>
      <c r="J302" s="265">
        <f t="shared" si="81"/>
        <v>2390.0625</v>
      </c>
      <c r="K302" s="265">
        <v>7</v>
      </c>
      <c r="L302" s="265">
        <v>2</v>
      </c>
      <c r="M302" s="266">
        <f t="shared" si="82"/>
        <v>0.77777777777777779</v>
      </c>
      <c r="N302" s="266">
        <f t="shared" si="83"/>
        <v>0.22222222222222221</v>
      </c>
      <c r="O302" s="265">
        <f t="shared" si="84"/>
        <v>9</v>
      </c>
      <c r="P302" s="297">
        <v>1</v>
      </c>
      <c r="Q302" s="265">
        <f t="shared" si="70"/>
        <v>10</v>
      </c>
      <c r="R302" s="299">
        <v>333</v>
      </c>
      <c r="S302" s="298">
        <f t="shared" si="85"/>
        <v>0.4375</v>
      </c>
      <c r="T302" s="298">
        <f t="shared" si="86"/>
        <v>0.125</v>
      </c>
      <c r="U302" s="201">
        <f t="shared" si="87"/>
        <v>0.625</v>
      </c>
      <c r="V302" s="200" t="s">
        <v>736</v>
      </c>
    </row>
    <row r="303" spans="1:22" ht="14.5" x14ac:dyDescent="0.35">
      <c r="A303" s="190" t="s">
        <v>250</v>
      </c>
      <c r="B303" s="191" t="s">
        <v>283</v>
      </c>
      <c r="C303" s="191" t="s">
        <v>14</v>
      </c>
      <c r="D303" s="191" t="s">
        <v>10</v>
      </c>
      <c r="E303" s="93" t="s">
        <v>285</v>
      </c>
      <c r="F303" s="249" t="s">
        <v>542</v>
      </c>
      <c r="G303" s="249" t="s">
        <v>12</v>
      </c>
      <c r="H303" s="265">
        <v>74</v>
      </c>
      <c r="I303" s="265">
        <v>7843</v>
      </c>
      <c r="J303" s="265">
        <f t="shared" si="81"/>
        <v>105.98648648648648</v>
      </c>
      <c r="K303" s="265">
        <v>17</v>
      </c>
      <c r="L303" s="265">
        <v>0</v>
      </c>
      <c r="M303" s="266">
        <f t="shared" si="82"/>
        <v>1</v>
      </c>
      <c r="N303" s="266">
        <f t="shared" si="83"/>
        <v>0</v>
      </c>
      <c r="O303" s="265">
        <f t="shared" si="84"/>
        <v>17</v>
      </c>
      <c r="P303" s="297">
        <v>2</v>
      </c>
      <c r="Q303" s="265">
        <f t="shared" si="70"/>
        <v>19</v>
      </c>
      <c r="R303" s="270">
        <v>41</v>
      </c>
      <c r="S303" s="298">
        <f t="shared" si="85"/>
        <v>0.22972972972972974</v>
      </c>
      <c r="T303" s="298">
        <f t="shared" si="86"/>
        <v>0</v>
      </c>
      <c r="U303" s="201">
        <f t="shared" si="87"/>
        <v>0.25675675675675674</v>
      </c>
      <c r="V303" s="200" t="s">
        <v>736</v>
      </c>
    </row>
    <row r="304" spans="1:22" ht="14.5" x14ac:dyDescent="0.35">
      <c r="A304" s="190" t="s">
        <v>250</v>
      </c>
      <c r="B304" s="191" t="s">
        <v>286</v>
      </c>
      <c r="C304" s="191" t="s">
        <v>4</v>
      </c>
      <c r="D304" s="191" t="s">
        <v>5</v>
      </c>
      <c r="E304" s="93" t="s">
        <v>287</v>
      </c>
      <c r="F304" s="249" t="s">
        <v>749</v>
      </c>
      <c r="G304" s="249" t="s">
        <v>6</v>
      </c>
      <c r="H304" s="265">
        <v>3002</v>
      </c>
      <c r="I304" s="265">
        <v>300397770</v>
      </c>
      <c r="J304" s="265">
        <f t="shared" si="81"/>
        <v>100065.87941372418</v>
      </c>
      <c r="K304" s="265">
        <v>1642684</v>
      </c>
      <c r="L304" s="265">
        <v>365055</v>
      </c>
      <c r="M304" s="266">
        <f t="shared" si="82"/>
        <v>0.81817606770601159</v>
      </c>
      <c r="N304" s="266">
        <f t="shared" si="83"/>
        <v>0.18182393229398841</v>
      </c>
      <c r="O304" s="265">
        <f t="shared" si="84"/>
        <v>2007739</v>
      </c>
      <c r="P304" s="297">
        <v>244900</v>
      </c>
      <c r="Q304" s="265">
        <f t="shared" si="70"/>
        <v>2252639</v>
      </c>
      <c r="R304" s="270">
        <v>532192</v>
      </c>
      <c r="S304" s="298">
        <f t="shared" si="85"/>
        <v>547.19653564290468</v>
      </c>
      <c r="T304" s="298">
        <f t="shared" si="86"/>
        <v>121.6039307128581</v>
      </c>
      <c r="U304" s="201">
        <f t="shared" si="87"/>
        <v>750.37941372418391</v>
      </c>
      <c r="V304" s="200" t="s">
        <v>736</v>
      </c>
    </row>
    <row r="305" spans="1:22" ht="14.5" x14ac:dyDescent="0.35">
      <c r="A305" s="190" t="s">
        <v>250</v>
      </c>
      <c r="B305" s="191" t="s">
        <v>286</v>
      </c>
      <c r="C305" s="191" t="s">
        <v>9</v>
      </c>
      <c r="D305" s="191" t="s">
        <v>10</v>
      </c>
      <c r="E305" s="94" t="str">
        <f>HYPERLINK("https://youtube.com/whitehouse","https://youtube.com/whitehouse")</f>
        <v>https://youtube.com/whitehouse</v>
      </c>
      <c r="F305" s="249" t="s">
        <v>288</v>
      </c>
      <c r="G305" s="249" t="s">
        <v>12</v>
      </c>
      <c r="H305" s="265">
        <v>6330</v>
      </c>
      <c r="I305" s="265">
        <v>249075458</v>
      </c>
      <c r="J305" s="265">
        <f t="shared" si="81"/>
        <v>39348.413586097944</v>
      </c>
      <c r="K305" s="265">
        <v>1647131</v>
      </c>
      <c r="L305" s="265">
        <v>469463</v>
      </c>
      <c r="M305" s="266">
        <f t="shared" si="82"/>
        <v>0.77819884210198087</v>
      </c>
      <c r="N305" s="266">
        <f t="shared" si="83"/>
        <v>0.22180115789801919</v>
      </c>
      <c r="O305" s="265">
        <f t="shared" si="84"/>
        <v>2116594</v>
      </c>
      <c r="P305" s="297">
        <v>1571818</v>
      </c>
      <c r="Q305" s="265">
        <f t="shared" si="70"/>
        <v>3688412</v>
      </c>
      <c r="R305" s="269">
        <v>682790</v>
      </c>
      <c r="S305" s="298">
        <f t="shared" si="85"/>
        <v>260.21026856240127</v>
      </c>
      <c r="T305" s="298">
        <f t="shared" si="86"/>
        <v>74.164770932069516</v>
      </c>
      <c r="U305" s="201">
        <f t="shared" si="87"/>
        <v>582.68751974723534</v>
      </c>
      <c r="V305" s="200" t="s">
        <v>735</v>
      </c>
    </row>
    <row r="306" spans="1:22" ht="14.5" x14ac:dyDescent="0.35">
      <c r="A306" s="190" t="s">
        <v>250</v>
      </c>
      <c r="B306" s="191" t="s">
        <v>286</v>
      </c>
      <c r="C306" s="191" t="s">
        <v>279</v>
      </c>
      <c r="D306" s="191" t="s">
        <v>10</v>
      </c>
      <c r="E306" s="94" t="str">
        <f>HYPERLINK("https://youtube.com/statevideo","https://youtube.com/statevideo")</f>
        <v>https://youtube.com/statevideo</v>
      </c>
      <c r="F306" s="249" t="s">
        <v>289</v>
      </c>
      <c r="G306" s="249" t="s">
        <v>12</v>
      </c>
      <c r="H306" s="265">
        <v>6412</v>
      </c>
      <c r="I306" s="265">
        <v>10741900</v>
      </c>
      <c r="J306" s="265">
        <f t="shared" si="81"/>
        <v>1675.280723643169</v>
      </c>
      <c r="K306" s="265">
        <v>57250</v>
      </c>
      <c r="L306" s="265">
        <v>20868</v>
      </c>
      <c r="M306" s="266">
        <f t="shared" si="82"/>
        <v>0.73286566476356285</v>
      </c>
      <c r="N306" s="266">
        <f t="shared" si="83"/>
        <v>0.2671343352364372</v>
      </c>
      <c r="O306" s="265">
        <f t="shared" si="84"/>
        <v>78118</v>
      </c>
      <c r="P306" s="297">
        <v>12960</v>
      </c>
      <c r="Q306" s="265">
        <f t="shared" si="70"/>
        <v>91078</v>
      </c>
      <c r="R306" s="270">
        <v>40980</v>
      </c>
      <c r="S306" s="298">
        <f t="shared" si="85"/>
        <v>8.9285714285714288</v>
      </c>
      <c r="T306" s="298">
        <f t="shared" si="86"/>
        <v>3.2545227698066128</v>
      </c>
      <c r="U306" s="201">
        <f t="shared" si="87"/>
        <v>14.204304429195259</v>
      </c>
      <c r="V306" s="200" t="s">
        <v>735</v>
      </c>
    </row>
    <row r="307" spans="1:22" ht="14.5" x14ac:dyDescent="0.35">
      <c r="A307" s="198" t="s">
        <v>250</v>
      </c>
      <c r="B307" s="193" t="s">
        <v>286</v>
      </c>
      <c r="C307" s="191" t="s">
        <v>279</v>
      </c>
      <c r="D307" s="193" t="s">
        <v>10</v>
      </c>
      <c r="E307" s="93" t="s">
        <v>290</v>
      </c>
      <c r="F307" s="249" t="s">
        <v>842</v>
      </c>
      <c r="G307" s="249" t="s">
        <v>12</v>
      </c>
      <c r="H307" s="265">
        <v>708</v>
      </c>
      <c r="I307" s="265">
        <v>2604426</v>
      </c>
      <c r="J307" s="265">
        <f t="shared" si="81"/>
        <v>3678.5677966101694</v>
      </c>
      <c r="K307" s="265">
        <v>13827</v>
      </c>
      <c r="L307" s="265">
        <v>1401</v>
      </c>
      <c r="M307" s="266">
        <f t="shared" si="82"/>
        <v>0.90799842395587071</v>
      </c>
      <c r="N307" s="266">
        <f t="shared" si="83"/>
        <v>9.200157604412923E-2</v>
      </c>
      <c r="O307" s="265">
        <f t="shared" si="84"/>
        <v>15228</v>
      </c>
      <c r="P307" s="297">
        <v>2456</v>
      </c>
      <c r="Q307" s="265">
        <f t="shared" si="70"/>
        <v>17684</v>
      </c>
      <c r="R307" s="270">
        <v>30</v>
      </c>
      <c r="S307" s="298">
        <f t="shared" si="85"/>
        <v>19.529661016949152</v>
      </c>
      <c r="T307" s="298">
        <f t="shared" si="86"/>
        <v>1.978813559322034</v>
      </c>
      <c r="U307" s="201">
        <f t="shared" si="87"/>
        <v>24.977401129943502</v>
      </c>
      <c r="V307" s="200" t="s">
        <v>735</v>
      </c>
    </row>
    <row r="308" spans="1:22" ht="14.5" x14ac:dyDescent="0.35">
      <c r="A308" s="190" t="s">
        <v>291</v>
      </c>
      <c r="B308" s="193" t="s">
        <v>292</v>
      </c>
      <c r="C308" s="191" t="s">
        <v>7</v>
      </c>
      <c r="D308" s="191" t="s">
        <v>5</v>
      </c>
      <c r="E308" s="95" t="s">
        <v>479</v>
      </c>
      <c r="F308" s="249" t="s">
        <v>293</v>
      </c>
      <c r="G308" s="249" t="s">
        <v>12</v>
      </c>
      <c r="H308" s="265">
        <v>268</v>
      </c>
      <c r="I308" s="265">
        <v>470918</v>
      </c>
      <c r="J308" s="265">
        <f t="shared" si="81"/>
        <v>1757.1567164179105</v>
      </c>
      <c r="K308" s="265">
        <v>2966</v>
      </c>
      <c r="L308" s="265">
        <v>2888</v>
      </c>
      <c r="M308" s="266">
        <f t="shared" si="82"/>
        <v>0.50666211137683637</v>
      </c>
      <c r="N308" s="266">
        <f t="shared" si="83"/>
        <v>0.49333788862316363</v>
      </c>
      <c r="O308" s="265">
        <f t="shared" si="84"/>
        <v>5854</v>
      </c>
      <c r="P308" s="297">
        <v>3801</v>
      </c>
      <c r="Q308" s="265">
        <f t="shared" si="70"/>
        <v>9655</v>
      </c>
      <c r="R308" s="271">
        <v>1765</v>
      </c>
      <c r="S308" s="298">
        <f t="shared" si="85"/>
        <v>11.067164179104477</v>
      </c>
      <c r="T308" s="298">
        <f t="shared" si="86"/>
        <v>10.776119402985074</v>
      </c>
      <c r="U308" s="201">
        <f t="shared" si="87"/>
        <v>36.026119402985074</v>
      </c>
      <c r="V308" s="200" t="s">
        <v>735</v>
      </c>
    </row>
    <row r="309" spans="1:22" ht="14.5" x14ac:dyDescent="0.35">
      <c r="A309" s="190" t="s">
        <v>291</v>
      </c>
      <c r="B309" s="191" t="s">
        <v>292</v>
      </c>
      <c r="C309" s="191" t="s">
        <v>14</v>
      </c>
      <c r="D309" s="191" t="s">
        <v>10</v>
      </c>
      <c r="E309" s="94" t="str">
        <f>HYPERLINK("https://youtube.com/dfat","https://youtube.com/dfat")</f>
        <v>https://youtube.com/dfat</v>
      </c>
      <c r="F309" s="249" t="s">
        <v>803</v>
      </c>
      <c r="G309" s="249" t="s">
        <v>12</v>
      </c>
      <c r="H309" s="265">
        <v>240</v>
      </c>
      <c r="I309" s="265">
        <v>1689836</v>
      </c>
      <c r="J309" s="265">
        <f t="shared" si="81"/>
        <v>7040.9833333333336</v>
      </c>
      <c r="K309" s="265">
        <v>1156</v>
      </c>
      <c r="L309" s="265">
        <v>111</v>
      </c>
      <c r="M309" s="266">
        <f t="shared" si="82"/>
        <v>0.91239147592738756</v>
      </c>
      <c r="N309" s="266">
        <f t="shared" si="83"/>
        <v>8.7608524072612465E-2</v>
      </c>
      <c r="O309" s="265">
        <f t="shared" si="84"/>
        <v>1267</v>
      </c>
      <c r="P309" s="297">
        <v>7</v>
      </c>
      <c r="Q309" s="265">
        <f t="shared" si="70"/>
        <v>1274</v>
      </c>
      <c r="R309" s="269">
        <v>1446</v>
      </c>
      <c r="S309" s="298">
        <f t="shared" si="85"/>
        <v>4.8166666666666664</v>
      </c>
      <c r="T309" s="298">
        <f t="shared" si="86"/>
        <v>0.46250000000000002</v>
      </c>
      <c r="U309" s="201">
        <f t="shared" si="87"/>
        <v>5.3083333333333336</v>
      </c>
      <c r="V309" s="200" t="s">
        <v>736</v>
      </c>
    </row>
    <row r="310" spans="1:22" ht="14.5" x14ac:dyDescent="0.35">
      <c r="A310" s="190" t="s">
        <v>291</v>
      </c>
      <c r="B310" s="191" t="s">
        <v>294</v>
      </c>
      <c r="C310" s="191" t="s">
        <v>13</v>
      </c>
      <c r="D310" s="191" t="s">
        <v>10</v>
      </c>
      <c r="E310" s="94" t="str">
        <f>HYPERLINK("https://youtube.com/minfofiji","https://youtube.com/minfofiji")</f>
        <v>https://youtube.com/minfofiji</v>
      </c>
      <c r="F310" s="249" t="s">
        <v>295</v>
      </c>
      <c r="G310" s="249" t="s">
        <v>12</v>
      </c>
      <c r="H310" s="265">
        <v>2482</v>
      </c>
      <c r="I310" s="265">
        <v>1389098</v>
      </c>
      <c r="J310" s="265">
        <f t="shared" si="81"/>
        <v>559.66881547139405</v>
      </c>
      <c r="K310" s="265">
        <v>4928</v>
      </c>
      <c r="L310" s="265">
        <v>477</v>
      </c>
      <c r="M310" s="266">
        <f t="shared" si="82"/>
        <v>0.9117483811285847</v>
      </c>
      <c r="N310" s="266">
        <f t="shared" si="83"/>
        <v>8.825161887141536E-2</v>
      </c>
      <c r="O310" s="265">
        <f t="shared" si="84"/>
        <v>5405</v>
      </c>
      <c r="P310" s="297">
        <v>808</v>
      </c>
      <c r="Q310" s="265">
        <f t="shared" si="70"/>
        <v>6213</v>
      </c>
      <c r="R310" s="269">
        <v>1979</v>
      </c>
      <c r="S310" s="298">
        <f t="shared" si="85"/>
        <v>1.9854955680902497</v>
      </c>
      <c r="T310" s="298">
        <f t="shared" si="86"/>
        <v>0.19218372280419016</v>
      </c>
      <c r="U310" s="201">
        <f t="shared" si="87"/>
        <v>2.5032232070910556</v>
      </c>
      <c r="V310" s="200" t="s">
        <v>736</v>
      </c>
    </row>
    <row r="311" spans="1:22" ht="14.5" x14ac:dyDescent="0.35">
      <c r="A311" s="190" t="s">
        <v>291</v>
      </c>
      <c r="B311" s="191" t="s">
        <v>294</v>
      </c>
      <c r="C311" s="191" t="s">
        <v>14</v>
      </c>
      <c r="D311" s="191" t="s">
        <v>10</v>
      </c>
      <c r="E311" s="94" t="str">
        <f>HYPERLINK("https://youtube.com/foreignaffairsfiji","https://youtube.com/foreignaffairsfiji")</f>
        <v>https://youtube.com/foreignaffairsfiji</v>
      </c>
      <c r="F311" s="249" t="s">
        <v>407</v>
      </c>
      <c r="G311" s="249" t="s">
        <v>6</v>
      </c>
      <c r="H311" s="265">
        <v>191</v>
      </c>
      <c r="I311" s="265">
        <v>97988</v>
      </c>
      <c r="J311" s="265">
        <f t="shared" si="81"/>
        <v>513.0261780104712</v>
      </c>
      <c r="K311" s="265">
        <v>204</v>
      </c>
      <c r="L311" s="265">
        <v>27</v>
      </c>
      <c r="M311" s="266">
        <f t="shared" si="82"/>
        <v>0.88311688311688308</v>
      </c>
      <c r="N311" s="266">
        <f t="shared" si="83"/>
        <v>0.11688311688311688</v>
      </c>
      <c r="O311" s="265">
        <f t="shared" si="84"/>
        <v>231</v>
      </c>
      <c r="P311" s="297">
        <v>45</v>
      </c>
      <c r="Q311" s="265">
        <f t="shared" si="70"/>
        <v>276</v>
      </c>
      <c r="R311" s="269">
        <v>101</v>
      </c>
      <c r="S311" s="298">
        <f t="shared" si="85"/>
        <v>1.0680628272251309</v>
      </c>
      <c r="T311" s="298">
        <f t="shared" si="86"/>
        <v>0.14136125654450263</v>
      </c>
      <c r="U311" s="201">
        <f t="shared" si="87"/>
        <v>1.4450261780104712</v>
      </c>
      <c r="V311" s="200" t="s">
        <v>736</v>
      </c>
    </row>
    <row r="312" spans="1:22" x14ac:dyDescent="0.35">
      <c r="A312" s="190" t="s">
        <v>291</v>
      </c>
      <c r="B312" s="191" t="s">
        <v>298</v>
      </c>
      <c r="C312" s="191" t="s">
        <v>7</v>
      </c>
      <c r="D312" s="191" t="s">
        <v>5</v>
      </c>
      <c r="E312" s="67" t="s">
        <v>718</v>
      </c>
      <c r="F312" s="249" t="s">
        <v>783</v>
      </c>
      <c r="G312" s="249" t="s">
        <v>12</v>
      </c>
      <c r="H312" s="265">
        <v>1</v>
      </c>
      <c r="I312" s="265">
        <v>1280</v>
      </c>
      <c r="J312" s="265">
        <f t="shared" si="81"/>
        <v>1280</v>
      </c>
      <c r="K312" s="265">
        <v>20</v>
      </c>
      <c r="L312" s="265">
        <v>14</v>
      </c>
      <c r="M312" s="266">
        <f t="shared" si="82"/>
        <v>0.58823529411764708</v>
      </c>
      <c r="N312" s="266">
        <f t="shared" si="83"/>
        <v>0.41176470588235292</v>
      </c>
      <c r="O312" s="265">
        <f t="shared" si="84"/>
        <v>34</v>
      </c>
      <c r="P312" s="297">
        <v>15</v>
      </c>
      <c r="Q312" s="265">
        <f t="shared" si="70"/>
        <v>49</v>
      </c>
      <c r="R312" s="271" t="s">
        <v>740</v>
      </c>
      <c r="S312" s="298">
        <f t="shared" si="85"/>
        <v>20</v>
      </c>
      <c r="T312" s="298">
        <f t="shared" si="86"/>
        <v>14</v>
      </c>
      <c r="U312" s="201">
        <f t="shared" si="87"/>
        <v>49</v>
      </c>
      <c r="V312" s="200" t="s">
        <v>735</v>
      </c>
    </row>
    <row r="313" spans="1:22" ht="14.5" x14ac:dyDescent="0.35">
      <c r="A313" s="190" t="s">
        <v>291</v>
      </c>
      <c r="B313" s="191" t="s">
        <v>300</v>
      </c>
      <c r="C313" s="191" t="s">
        <v>13</v>
      </c>
      <c r="D313" s="191" t="s">
        <v>10</v>
      </c>
      <c r="E313" s="95" t="s">
        <v>480</v>
      </c>
      <c r="F313" s="249" t="s">
        <v>813</v>
      </c>
      <c r="G313" s="249" t="s">
        <v>6</v>
      </c>
      <c r="H313" s="265">
        <v>3</v>
      </c>
      <c r="I313" s="265">
        <v>7445</v>
      </c>
      <c r="J313" s="265">
        <f t="shared" si="81"/>
        <v>2481.6666666666665</v>
      </c>
      <c r="K313" s="265">
        <v>29</v>
      </c>
      <c r="L313" s="265">
        <v>8</v>
      </c>
      <c r="M313" s="266">
        <f t="shared" si="82"/>
        <v>0.78378378378378377</v>
      </c>
      <c r="N313" s="266">
        <f t="shared" si="83"/>
        <v>0.21621621621621623</v>
      </c>
      <c r="O313" s="265">
        <f t="shared" si="84"/>
        <v>37</v>
      </c>
      <c r="P313" s="297">
        <v>7</v>
      </c>
      <c r="Q313" s="265">
        <f t="shared" si="70"/>
        <v>44</v>
      </c>
      <c r="R313" s="299">
        <v>32</v>
      </c>
      <c r="S313" s="298">
        <f t="shared" si="85"/>
        <v>9.6666666666666661</v>
      </c>
      <c r="T313" s="298">
        <f t="shared" si="86"/>
        <v>2.6666666666666665</v>
      </c>
      <c r="U313" s="201">
        <f t="shared" si="87"/>
        <v>14.666666666666666</v>
      </c>
      <c r="V313" s="200" t="s">
        <v>736</v>
      </c>
    </row>
    <row r="314" spans="1:22" ht="14.5" x14ac:dyDescent="0.35">
      <c r="A314" s="190" t="s">
        <v>291</v>
      </c>
      <c r="B314" s="191" t="s">
        <v>304</v>
      </c>
      <c r="C314" s="191" t="s">
        <v>13</v>
      </c>
      <c r="D314" s="191" t="s">
        <v>10</v>
      </c>
      <c r="E314" s="94" t="str">
        <f>HYPERLINK("https://youtube.com/vanuatugovernment","https://youtube.com/vanuatugovernment")</f>
        <v>https://youtube.com/vanuatugovernment</v>
      </c>
      <c r="F314" s="249" t="s">
        <v>329</v>
      </c>
      <c r="G314" s="249" t="s">
        <v>6</v>
      </c>
      <c r="H314" s="265">
        <v>9</v>
      </c>
      <c r="I314" s="265">
        <v>2747</v>
      </c>
      <c r="J314" s="265">
        <f t="shared" si="81"/>
        <v>305.22222222222223</v>
      </c>
      <c r="K314" s="265">
        <v>6</v>
      </c>
      <c r="L314" s="265">
        <v>3</v>
      </c>
      <c r="M314" s="266">
        <f t="shared" si="82"/>
        <v>0.66666666666666663</v>
      </c>
      <c r="N314" s="266">
        <f t="shared" si="83"/>
        <v>0.33333333333333331</v>
      </c>
      <c r="O314" s="265">
        <f t="shared" si="84"/>
        <v>9</v>
      </c>
      <c r="P314" s="297">
        <v>9</v>
      </c>
      <c r="Q314" s="265">
        <f t="shared" si="70"/>
        <v>18</v>
      </c>
      <c r="R314" s="269">
        <v>28</v>
      </c>
      <c r="S314" s="298">
        <f t="shared" si="85"/>
        <v>0.66666666666666663</v>
      </c>
      <c r="T314" s="298">
        <f t="shared" si="86"/>
        <v>0.33333333333333331</v>
      </c>
      <c r="U314" s="201">
        <f t="shared" si="87"/>
        <v>2</v>
      </c>
      <c r="V314" s="197" t="s">
        <v>736</v>
      </c>
    </row>
    <row r="315" spans="1:22" ht="14.5" x14ac:dyDescent="0.35">
      <c r="A315" s="255" t="s">
        <v>305</v>
      </c>
      <c r="B315" s="256" t="s">
        <v>306</v>
      </c>
      <c r="C315" s="256" t="s">
        <v>4</v>
      </c>
      <c r="D315" s="256" t="s">
        <v>5</v>
      </c>
      <c r="E315" s="95" t="s">
        <v>307</v>
      </c>
      <c r="F315" s="249" t="s">
        <v>522</v>
      </c>
      <c r="G315" s="249" t="s">
        <v>12</v>
      </c>
      <c r="H315" s="265">
        <v>868</v>
      </c>
      <c r="I315" s="265">
        <v>17965184</v>
      </c>
      <c r="J315" s="265">
        <f t="shared" si="81"/>
        <v>20697.21658986175</v>
      </c>
      <c r="K315" s="265">
        <v>44385</v>
      </c>
      <c r="L315" s="265">
        <v>29482</v>
      </c>
      <c r="M315" s="266">
        <f t="shared" si="82"/>
        <v>0.60087725235896949</v>
      </c>
      <c r="N315" s="266">
        <f t="shared" si="83"/>
        <v>0.39912274764103051</v>
      </c>
      <c r="O315" s="265">
        <f t="shared" si="84"/>
        <v>73867</v>
      </c>
      <c r="P315" s="297">
        <v>9662</v>
      </c>
      <c r="Q315" s="265">
        <f t="shared" si="70"/>
        <v>83529</v>
      </c>
      <c r="R315" s="270">
        <v>29215</v>
      </c>
      <c r="S315" s="298">
        <f t="shared" si="85"/>
        <v>51.134792626728114</v>
      </c>
      <c r="T315" s="298">
        <f t="shared" si="86"/>
        <v>33.965437788018434</v>
      </c>
      <c r="U315" s="201">
        <f t="shared" si="87"/>
        <v>96.231566820276498</v>
      </c>
      <c r="V315" s="200" t="s">
        <v>735</v>
      </c>
    </row>
    <row r="316" spans="1:22" ht="14.5" x14ac:dyDescent="0.35">
      <c r="A316" s="190" t="s">
        <v>305</v>
      </c>
      <c r="B316" s="191" t="s">
        <v>306</v>
      </c>
      <c r="C316" s="191" t="s">
        <v>13</v>
      </c>
      <c r="D316" s="191" t="s">
        <v>10</v>
      </c>
      <c r="E316" s="94" t="str">
        <f>HYPERLINK("https://youtube.com/casarosada","https://youtube.com/casarosada")</f>
        <v>https://youtube.com/casarosada</v>
      </c>
      <c r="F316" s="249" t="s">
        <v>615</v>
      </c>
      <c r="G316" s="249" t="s">
        <v>12</v>
      </c>
      <c r="H316" s="265">
        <v>4215</v>
      </c>
      <c r="I316" s="265">
        <v>71821380</v>
      </c>
      <c r="J316" s="265">
        <f t="shared" si="81"/>
        <v>17039.47330960854</v>
      </c>
      <c r="K316" s="265">
        <v>118386</v>
      </c>
      <c r="L316" s="265">
        <v>24173</v>
      </c>
      <c r="M316" s="266">
        <f t="shared" si="82"/>
        <v>0.83043511809145687</v>
      </c>
      <c r="N316" s="266">
        <f t="shared" si="83"/>
        <v>0.16956488190854313</v>
      </c>
      <c r="O316" s="265">
        <f t="shared" si="84"/>
        <v>142559</v>
      </c>
      <c r="P316" s="297">
        <v>26032</v>
      </c>
      <c r="Q316" s="265">
        <f t="shared" si="70"/>
        <v>168591</v>
      </c>
      <c r="R316" s="270">
        <v>88255</v>
      </c>
      <c r="S316" s="298">
        <f t="shared" si="85"/>
        <v>28.086832740213524</v>
      </c>
      <c r="T316" s="298">
        <f t="shared" si="86"/>
        <v>5.7349940688018979</v>
      </c>
      <c r="U316" s="201">
        <f t="shared" si="87"/>
        <v>39.997864768683272</v>
      </c>
      <c r="V316" s="200" t="s">
        <v>736</v>
      </c>
    </row>
    <row r="317" spans="1:22" ht="14.5" x14ac:dyDescent="0.35">
      <c r="A317" s="190" t="s">
        <v>305</v>
      </c>
      <c r="B317" s="191" t="s">
        <v>306</v>
      </c>
      <c r="C317" s="191" t="s">
        <v>14</v>
      </c>
      <c r="D317" s="191" t="s">
        <v>10</v>
      </c>
      <c r="E317" s="94" t="str">
        <f>HYPERLINK("https://youtube.com/MRECICARG","https://youtube.com/MRECICARG")</f>
        <v>https://youtube.com/MRECICARG</v>
      </c>
      <c r="F317" s="249" t="s">
        <v>523</v>
      </c>
      <c r="G317" s="249" t="s">
        <v>12</v>
      </c>
      <c r="H317" s="265">
        <v>279</v>
      </c>
      <c r="I317" s="265">
        <v>219558</v>
      </c>
      <c r="J317" s="265">
        <f t="shared" si="81"/>
        <v>786.94623655913983</v>
      </c>
      <c r="K317" s="265">
        <v>905</v>
      </c>
      <c r="L317" s="265">
        <v>158</v>
      </c>
      <c r="M317" s="266">
        <f t="shared" si="82"/>
        <v>0.8513640639698965</v>
      </c>
      <c r="N317" s="266">
        <f t="shared" si="83"/>
        <v>0.14863593603010347</v>
      </c>
      <c r="O317" s="265">
        <f t="shared" si="84"/>
        <v>1063</v>
      </c>
      <c r="P317" s="297">
        <v>155</v>
      </c>
      <c r="Q317" s="265">
        <f t="shared" si="70"/>
        <v>1218</v>
      </c>
      <c r="R317" s="269">
        <v>739</v>
      </c>
      <c r="S317" s="298">
        <f t="shared" si="85"/>
        <v>3.2437275985663083</v>
      </c>
      <c r="T317" s="298">
        <f t="shared" si="86"/>
        <v>0.56630824372759858</v>
      </c>
      <c r="U317" s="201">
        <f t="shared" si="87"/>
        <v>4.365591397849462</v>
      </c>
      <c r="V317" s="200" t="s">
        <v>736</v>
      </c>
    </row>
    <row r="318" spans="1:22" ht="14.5" x14ac:dyDescent="0.35">
      <c r="A318" s="190" t="s">
        <v>305</v>
      </c>
      <c r="B318" s="191" t="s">
        <v>308</v>
      </c>
      <c r="C318" s="191" t="s">
        <v>13</v>
      </c>
      <c r="D318" s="191" t="s">
        <v>10</v>
      </c>
      <c r="E318" s="93" t="s">
        <v>309</v>
      </c>
      <c r="F318" s="249" t="s">
        <v>579</v>
      </c>
      <c r="G318" s="249" t="s">
        <v>12</v>
      </c>
      <c r="H318" s="265">
        <v>781</v>
      </c>
      <c r="I318" s="265">
        <v>643149</v>
      </c>
      <c r="J318" s="265">
        <f t="shared" si="81"/>
        <v>823.49423815621003</v>
      </c>
      <c r="K318" s="265">
        <v>4008</v>
      </c>
      <c r="L318" s="265">
        <v>664</v>
      </c>
      <c r="M318" s="266">
        <f t="shared" si="82"/>
        <v>0.85787671232876717</v>
      </c>
      <c r="N318" s="266">
        <f t="shared" si="83"/>
        <v>0.14212328767123289</v>
      </c>
      <c r="O318" s="265">
        <f t="shared" si="84"/>
        <v>4672</v>
      </c>
      <c r="P318" s="297">
        <v>1073</v>
      </c>
      <c r="Q318" s="265">
        <f t="shared" si="70"/>
        <v>5745</v>
      </c>
      <c r="R318" s="270">
        <v>1646</v>
      </c>
      <c r="S318" s="298">
        <f t="shared" si="85"/>
        <v>5.1318822023047375</v>
      </c>
      <c r="T318" s="298">
        <f t="shared" si="86"/>
        <v>0.85019206145966708</v>
      </c>
      <c r="U318" s="201">
        <f t="shared" si="87"/>
        <v>7.3559539052496801</v>
      </c>
      <c r="V318" s="200" t="s">
        <v>736</v>
      </c>
    </row>
    <row r="319" spans="1:22" ht="14.5" x14ac:dyDescent="0.35">
      <c r="A319" s="190" t="s">
        <v>305</v>
      </c>
      <c r="B319" s="191" t="s">
        <v>310</v>
      </c>
      <c r="C319" s="191" t="s">
        <v>4</v>
      </c>
      <c r="D319" s="191" t="s">
        <v>5</v>
      </c>
      <c r="E319" s="93" t="s">
        <v>481</v>
      </c>
      <c r="F319" s="249" t="s">
        <v>804</v>
      </c>
      <c r="G319" s="249" t="s">
        <v>6</v>
      </c>
      <c r="H319" s="265">
        <v>100</v>
      </c>
      <c r="I319" s="265">
        <v>70800</v>
      </c>
      <c r="J319" s="265">
        <f t="shared" si="81"/>
        <v>708</v>
      </c>
      <c r="K319" s="265">
        <v>156</v>
      </c>
      <c r="L319" s="265">
        <v>135</v>
      </c>
      <c r="M319" s="266">
        <f t="shared" si="82"/>
        <v>0.53608247422680411</v>
      </c>
      <c r="N319" s="266">
        <f t="shared" si="83"/>
        <v>0.46391752577319589</v>
      </c>
      <c r="O319" s="265">
        <f t="shared" si="84"/>
        <v>291</v>
      </c>
      <c r="P319" s="297">
        <v>208</v>
      </c>
      <c r="Q319" s="265">
        <f t="shared" si="70"/>
        <v>499</v>
      </c>
      <c r="R319" s="270">
        <v>9659</v>
      </c>
      <c r="S319" s="298">
        <f t="shared" si="85"/>
        <v>1.56</v>
      </c>
      <c r="T319" s="298">
        <f t="shared" si="86"/>
        <v>1.35</v>
      </c>
      <c r="U319" s="201">
        <f t="shared" si="87"/>
        <v>4.99</v>
      </c>
      <c r="V319" s="200" t="s">
        <v>735</v>
      </c>
    </row>
    <row r="320" spans="1:22" x14ac:dyDescent="0.35">
      <c r="A320" s="190" t="s">
        <v>305</v>
      </c>
      <c r="B320" s="191" t="s">
        <v>310</v>
      </c>
      <c r="C320" s="191" t="s">
        <v>13</v>
      </c>
      <c r="D320" s="191" t="s">
        <v>10</v>
      </c>
      <c r="E320" s="29" t="s">
        <v>1201</v>
      </c>
      <c r="F320" s="249" t="s">
        <v>827</v>
      </c>
      <c r="G320" s="249" t="s">
        <v>12</v>
      </c>
      <c r="H320" s="265">
        <v>3832</v>
      </c>
      <c r="I320" s="265">
        <v>11126147</v>
      </c>
      <c r="J320" s="265">
        <f t="shared" si="81"/>
        <v>2903.4830375782881</v>
      </c>
      <c r="K320" s="265">
        <v>19038</v>
      </c>
      <c r="L320" s="265">
        <v>4031</v>
      </c>
      <c r="M320" s="266">
        <f t="shared" si="82"/>
        <v>0.82526334041354199</v>
      </c>
      <c r="N320" s="266">
        <f t="shared" si="83"/>
        <v>0.17473665958645801</v>
      </c>
      <c r="O320" s="265">
        <f t="shared" si="84"/>
        <v>23069</v>
      </c>
      <c r="P320" s="297">
        <v>2305</v>
      </c>
      <c r="Q320" s="265">
        <f t="shared" si="70"/>
        <v>25374</v>
      </c>
      <c r="R320" s="270">
        <v>25033</v>
      </c>
      <c r="S320" s="298">
        <f t="shared" si="85"/>
        <v>4.9681628392484338</v>
      </c>
      <c r="T320" s="298">
        <f t="shared" si="86"/>
        <v>1.0519311064718162</v>
      </c>
      <c r="U320" s="201">
        <f t="shared" si="87"/>
        <v>6.6216075156576197</v>
      </c>
      <c r="V320" s="200" t="s">
        <v>736</v>
      </c>
    </row>
    <row r="321" spans="1:22" ht="14.5" x14ac:dyDescent="0.35">
      <c r="A321" s="190" t="s">
        <v>305</v>
      </c>
      <c r="B321" s="191" t="s">
        <v>310</v>
      </c>
      <c r="C321" s="191" t="s">
        <v>13</v>
      </c>
      <c r="D321" s="191" t="s">
        <v>10</v>
      </c>
      <c r="E321" s="94" t="str">
        <f>HYPERLINK("https://youtube.com/canalportalbrasil","https://youtube.com/canalportalbrasil")</f>
        <v>https://youtube.com/canalportalbrasil</v>
      </c>
      <c r="F321" s="249" t="s">
        <v>311</v>
      </c>
      <c r="G321" s="249" t="s">
        <v>12</v>
      </c>
      <c r="H321" s="265">
        <v>847</v>
      </c>
      <c r="I321" s="265">
        <v>2833622</v>
      </c>
      <c r="J321" s="265">
        <f t="shared" si="81"/>
        <v>3345.4805194805194</v>
      </c>
      <c r="K321" s="265">
        <v>10364</v>
      </c>
      <c r="L321" s="265">
        <v>1361</v>
      </c>
      <c r="M321" s="266">
        <f t="shared" si="82"/>
        <v>0.88392324093816632</v>
      </c>
      <c r="N321" s="266">
        <f t="shared" si="83"/>
        <v>0.11607675906183369</v>
      </c>
      <c r="O321" s="265">
        <f t="shared" si="84"/>
        <v>11725</v>
      </c>
      <c r="P321" s="297">
        <v>529</v>
      </c>
      <c r="Q321" s="265">
        <f t="shared" si="70"/>
        <v>12254</v>
      </c>
      <c r="R321" s="270">
        <v>13639</v>
      </c>
      <c r="S321" s="298">
        <f t="shared" si="85"/>
        <v>12.236127508854782</v>
      </c>
      <c r="T321" s="298">
        <f t="shared" si="86"/>
        <v>1.6068476977567887</v>
      </c>
      <c r="U321" s="201">
        <f t="shared" si="87"/>
        <v>14.467532467532468</v>
      </c>
      <c r="V321" s="200" t="s">
        <v>736</v>
      </c>
    </row>
    <row r="322" spans="1:22" ht="14.5" x14ac:dyDescent="0.35">
      <c r="A322" s="190" t="s">
        <v>305</v>
      </c>
      <c r="B322" s="191" t="s">
        <v>310</v>
      </c>
      <c r="C322" s="191" t="s">
        <v>14</v>
      </c>
      <c r="D322" s="191" t="s">
        <v>10</v>
      </c>
      <c r="E322" s="94" t="str">
        <f>HYPERLINK("https://youtube.com/mrebrasil","https://youtube.com/mrebrasil")</f>
        <v>https://youtube.com/mrebrasil</v>
      </c>
      <c r="F322" s="249" t="s">
        <v>624</v>
      </c>
      <c r="G322" s="249" t="s">
        <v>12</v>
      </c>
      <c r="H322" s="265">
        <v>1133</v>
      </c>
      <c r="I322" s="265">
        <v>1323319</v>
      </c>
      <c r="J322" s="265">
        <f t="shared" si="81"/>
        <v>1167.9779346866726</v>
      </c>
      <c r="K322" s="265">
        <v>7593</v>
      </c>
      <c r="L322" s="265">
        <v>501</v>
      </c>
      <c r="M322" s="266">
        <f t="shared" si="82"/>
        <v>0.93810229799851741</v>
      </c>
      <c r="N322" s="266">
        <f t="shared" si="83"/>
        <v>6.1897702001482577E-2</v>
      </c>
      <c r="O322" s="265">
        <f t="shared" si="84"/>
        <v>8094</v>
      </c>
      <c r="P322" s="297">
        <v>1334</v>
      </c>
      <c r="Q322" s="265">
        <f t="shared" si="70"/>
        <v>9428</v>
      </c>
      <c r="R322" s="269">
        <v>9020</v>
      </c>
      <c r="S322" s="298">
        <f t="shared" si="85"/>
        <v>6.7016769638128864</v>
      </c>
      <c r="T322" s="298">
        <f t="shared" si="86"/>
        <v>0.44218887908208299</v>
      </c>
      <c r="U322" s="201">
        <f t="shared" si="87"/>
        <v>8.3212709620476613</v>
      </c>
      <c r="V322" s="200" t="s">
        <v>736</v>
      </c>
    </row>
    <row r="323" spans="1:22" ht="14.5" x14ac:dyDescent="0.35">
      <c r="A323" s="198" t="s">
        <v>305</v>
      </c>
      <c r="B323" s="193" t="s">
        <v>312</v>
      </c>
      <c r="C323" s="193" t="s">
        <v>4</v>
      </c>
      <c r="D323" s="191" t="s">
        <v>5</v>
      </c>
      <c r="E323" s="93" t="s">
        <v>483</v>
      </c>
      <c r="F323" s="249" t="s">
        <v>525</v>
      </c>
      <c r="G323" s="249" t="s">
        <v>6</v>
      </c>
      <c r="H323" s="265">
        <v>253</v>
      </c>
      <c r="I323" s="265">
        <v>1069409</v>
      </c>
      <c r="J323" s="265">
        <f t="shared" si="81"/>
        <v>4226.913043478261</v>
      </c>
      <c r="K323" s="265">
        <v>6907</v>
      </c>
      <c r="L323" s="265">
        <v>15331</v>
      </c>
      <c r="M323" s="266">
        <f t="shared" si="82"/>
        <v>0.31059447792067629</v>
      </c>
      <c r="N323" s="266">
        <f t="shared" si="83"/>
        <v>0.68940552207932371</v>
      </c>
      <c r="O323" s="265">
        <f t="shared" si="84"/>
        <v>22238</v>
      </c>
      <c r="P323" s="297">
        <v>604</v>
      </c>
      <c r="Q323" s="265">
        <f t="shared" ref="Q323:Q386" si="88">SUM(O323,P323)</f>
        <v>22842</v>
      </c>
      <c r="R323" s="270">
        <v>2811</v>
      </c>
      <c r="S323" s="298">
        <f t="shared" si="85"/>
        <v>27.300395256916996</v>
      </c>
      <c r="T323" s="298">
        <f t="shared" si="86"/>
        <v>60.596837944664031</v>
      </c>
      <c r="U323" s="201">
        <f t="shared" si="87"/>
        <v>90.284584980237156</v>
      </c>
      <c r="V323" s="200" t="s">
        <v>736</v>
      </c>
    </row>
    <row r="324" spans="1:22" ht="14.5" x14ac:dyDescent="0.35">
      <c r="A324" s="190" t="s">
        <v>305</v>
      </c>
      <c r="B324" s="191" t="s">
        <v>312</v>
      </c>
      <c r="C324" s="191" t="s">
        <v>13</v>
      </c>
      <c r="D324" s="191" t="s">
        <v>10</v>
      </c>
      <c r="E324" s="94" t="str">
        <f>HYPERLINK("https://youtube.com/lamoneda","https://youtube.com/lamoneda")</f>
        <v>https://youtube.com/lamoneda</v>
      </c>
      <c r="F324" s="249" t="s">
        <v>313</v>
      </c>
      <c r="G324" s="249" t="s">
        <v>12</v>
      </c>
      <c r="H324" s="265">
        <v>1271</v>
      </c>
      <c r="I324" s="265">
        <v>3450169</v>
      </c>
      <c r="J324" s="265">
        <f t="shared" si="81"/>
        <v>2714.531077891424</v>
      </c>
      <c r="K324" s="265">
        <v>7670</v>
      </c>
      <c r="L324" s="265">
        <v>3876</v>
      </c>
      <c r="M324" s="266">
        <f t="shared" si="82"/>
        <v>0.66429932444136497</v>
      </c>
      <c r="N324" s="266">
        <f t="shared" si="83"/>
        <v>0.33570067555863503</v>
      </c>
      <c r="O324" s="265">
        <f t="shared" si="84"/>
        <v>11546</v>
      </c>
      <c r="P324" s="297">
        <v>4121</v>
      </c>
      <c r="Q324" s="265">
        <f t="shared" si="88"/>
        <v>15667</v>
      </c>
      <c r="R324" s="269">
        <v>5101</v>
      </c>
      <c r="S324" s="298">
        <f t="shared" si="85"/>
        <v>6.0346184107002356</v>
      </c>
      <c r="T324" s="298">
        <f t="shared" si="86"/>
        <v>3.0495672698662473</v>
      </c>
      <c r="U324" s="201">
        <f t="shared" si="87"/>
        <v>12.326514555468135</v>
      </c>
      <c r="V324" s="200" t="s">
        <v>736</v>
      </c>
    </row>
    <row r="325" spans="1:22" ht="14.5" x14ac:dyDescent="0.35">
      <c r="A325" s="190" t="s">
        <v>305</v>
      </c>
      <c r="B325" s="191" t="s">
        <v>314</v>
      </c>
      <c r="C325" s="191" t="s">
        <v>4</v>
      </c>
      <c r="D325" s="191" t="s">
        <v>5</v>
      </c>
      <c r="E325" s="95" t="s">
        <v>484</v>
      </c>
      <c r="F325" s="249" t="s">
        <v>543</v>
      </c>
      <c r="G325" s="249" t="s">
        <v>12</v>
      </c>
      <c r="H325" s="265">
        <v>214</v>
      </c>
      <c r="I325" s="265">
        <v>2132674</v>
      </c>
      <c r="J325" s="265">
        <f t="shared" si="81"/>
        <v>9965.7663551401874</v>
      </c>
      <c r="K325" s="265">
        <v>0</v>
      </c>
      <c r="L325" s="265">
        <v>0</v>
      </c>
      <c r="M325" s="265">
        <v>0</v>
      </c>
      <c r="N325" s="265">
        <v>0</v>
      </c>
      <c r="O325" s="265">
        <v>0</v>
      </c>
      <c r="P325" s="297">
        <v>0</v>
      </c>
      <c r="Q325" s="265">
        <f t="shared" si="88"/>
        <v>0</v>
      </c>
      <c r="R325" s="271">
        <v>1856</v>
      </c>
      <c r="S325" s="298">
        <f t="shared" si="85"/>
        <v>0</v>
      </c>
      <c r="T325" s="298">
        <f t="shared" si="86"/>
        <v>0</v>
      </c>
      <c r="U325" s="201">
        <f t="shared" si="87"/>
        <v>0</v>
      </c>
      <c r="V325" s="197" t="s">
        <v>736</v>
      </c>
    </row>
    <row r="326" spans="1:22" ht="14.5" x14ac:dyDescent="0.35">
      <c r="A326" s="190" t="s">
        <v>305</v>
      </c>
      <c r="B326" s="191" t="s">
        <v>314</v>
      </c>
      <c r="C326" s="191" t="s">
        <v>9</v>
      </c>
      <c r="D326" s="191" t="s">
        <v>10</v>
      </c>
      <c r="E326" s="94" t="str">
        <f>HYPERLINK("https://youtube.com/sigcolombia","https://youtube.com/sigcolombia")</f>
        <v>https://youtube.com/sigcolombia</v>
      </c>
      <c r="F326" s="249" t="s">
        <v>613</v>
      </c>
      <c r="G326" s="249" t="s">
        <v>12</v>
      </c>
      <c r="H326" s="265">
        <v>8696</v>
      </c>
      <c r="I326" s="265">
        <v>12036106</v>
      </c>
      <c r="J326" s="265">
        <f t="shared" si="81"/>
        <v>1384.096826126955</v>
      </c>
      <c r="K326" s="265">
        <v>22425</v>
      </c>
      <c r="L326" s="265">
        <v>4514</v>
      </c>
      <c r="M326" s="266">
        <f t="shared" ref="M326:M335" si="89">SUM(K326)/O326</f>
        <v>0.83243624484947476</v>
      </c>
      <c r="N326" s="266">
        <f t="shared" ref="N326:N335" si="90">SUM(L326)/O326</f>
        <v>0.16756375515052527</v>
      </c>
      <c r="O326" s="265">
        <f t="shared" ref="O326:O335" si="91">SUM(K326:L326)</f>
        <v>26939</v>
      </c>
      <c r="P326" s="297">
        <v>10054</v>
      </c>
      <c r="Q326" s="265">
        <f t="shared" si="88"/>
        <v>36993</v>
      </c>
      <c r="R326" s="269">
        <v>14606</v>
      </c>
      <c r="S326" s="298">
        <f t="shared" si="85"/>
        <v>2.578771849126035</v>
      </c>
      <c r="T326" s="298">
        <f t="shared" si="86"/>
        <v>0.51908923643054283</v>
      </c>
      <c r="U326" s="201">
        <f t="shared" si="87"/>
        <v>4.2540248390064397</v>
      </c>
      <c r="V326" s="200" t="s">
        <v>735</v>
      </c>
    </row>
    <row r="327" spans="1:22" ht="14.5" x14ac:dyDescent="0.35">
      <c r="A327" s="190" t="s">
        <v>305</v>
      </c>
      <c r="B327" s="191" t="s">
        <v>314</v>
      </c>
      <c r="C327" s="191" t="s">
        <v>14</v>
      </c>
      <c r="D327" s="191" t="s">
        <v>10</v>
      </c>
      <c r="E327" s="94" t="str">
        <f>HYPERLINK("https://youtube.com/CancilleriaCol","https://youtube.com/CancilleriaCol")</f>
        <v>https://youtube.com/CancilleriaCol</v>
      </c>
      <c r="F327" s="249" t="s">
        <v>526</v>
      </c>
      <c r="G327" s="249" t="s">
        <v>12</v>
      </c>
      <c r="H327" s="265">
        <v>857</v>
      </c>
      <c r="I327" s="265">
        <v>789938</v>
      </c>
      <c r="J327" s="265">
        <f t="shared" si="81"/>
        <v>921.74795799299886</v>
      </c>
      <c r="K327" s="265">
        <v>1998</v>
      </c>
      <c r="L327" s="265">
        <v>219</v>
      </c>
      <c r="M327" s="266">
        <f t="shared" si="89"/>
        <v>0.9012178619756428</v>
      </c>
      <c r="N327" s="266">
        <f t="shared" si="90"/>
        <v>9.8782138024357244E-2</v>
      </c>
      <c r="O327" s="265">
        <f t="shared" si="91"/>
        <v>2217</v>
      </c>
      <c r="P327" s="297">
        <v>549</v>
      </c>
      <c r="Q327" s="265">
        <f t="shared" si="88"/>
        <v>2766</v>
      </c>
      <c r="R327" s="269">
        <v>1678</v>
      </c>
      <c r="S327" s="298">
        <f t="shared" si="85"/>
        <v>2.3313885647607933</v>
      </c>
      <c r="T327" s="298">
        <f t="shared" si="86"/>
        <v>0.2555425904317386</v>
      </c>
      <c r="U327" s="201">
        <f t="shared" si="87"/>
        <v>3.2275379229871644</v>
      </c>
      <c r="V327" s="200" t="s">
        <v>736</v>
      </c>
    </row>
    <row r="328" spans="1:22" ht="14.5" x14ac:dyDescent="0.35">
      <c r="A328" s="190" t="s">
        <v>305</v>
      </c>
      <c r="B328" s="191" t="s">
        <v>315</v>
      </c>
      <c r="C328" s="191" t="s">
        <v>4</v>
      </c>
      <c r="D328" s="191" t="s">
        <v>5</v>
      </c>
      <c r="E328" s="93" t="s">
        <v>316</v>
      </c>
      <c r="F328" s="249" t="s">
        <v>577</v>
      </c>
      <c r="G328" s="249" t="s">
        <v>6</v>
      </c>
      <c r="H328" s="265">
        <v>21</v>
      </c>
      <c r="I328" s="265">
        <v>10824</v>
      </c>
      <c r="J328" s="265">
        <f t="shared" si="81"/>
        <v>515.42857142857144</v>
      </c>
      <c r="K328" s="265">
        <v>14</v>
      </c>
      <c r="L328" s="265">
        <v>15</v>
      </c>
      <c r="M328" s="266">
        <f t="shared" si="89"/>
        <v>0.48275862068965519</v>
      </c>
      <c r="N328" s="266">
        <f t="shared" si="90"/>
        <v>0.51724137931034486</v>
      </c>
      <c r="O328" s="265">
        <f t="shared" si="91"/>
        <v>29</v>
      </c>
      <c r="P328" s="297">
        <v>2</v>
      </c>
      <c r="Q328" s="265">
        <f t="shared" si="88"/>
        <v>31</v>
      </c>
      <c r="R328" s="270">
        <v>27</v>
      </c>
      <c r="S328" s="298">
        <f t="shared" si="85"/>
        <v>0.66666666666666663</v>
      </c>
      <c r="T328" s="298">
        <f t="shared" si="86"/>
        <v>0.7142857142857143</v>
      </c>
      <c r="U328" s="201">
        <f t="shared" si="87"/>
        <v>1.4761904761904763</v>
      </c>
      <c r="V328" s="200" t="s">
        <v>736</v>
      </c>
    </row>
    <row r="329" spans="1:22" ht="14.5" x14ac:dyDescent="0.35">
      <c r="A329" s="190" t="s">
        <v>305</v>
      </c>
      <c r="B329" s="191" t="s">
        <v>315</v>
      </c>
      <c r="C329" s="191" t="s">
        <v>9</v>
      </c>
      <c r="D329" s="191" t="s">
        <v>10</v>
      </c>
      <c r="E329" s="94" t="str">
        <f>HYPERLINK("https://youtube.com/presidenciaec","https://youtube.com/presidenciaec")</f>
        <v>https://youtube.com/presidenciaec</v>
      </c>
      <c r="F329" s="249" t="s">
        <v>616</v>
      </c>
      <c r="G329" s="249" t="s">
        <v>12</v>
      </c>
      <c r="H329" s="265">
        <v>1391</v>
      </c>
      <c r="I329" s="265">
        <v>11477729</v>
      </c>
      <c r="J329" s="265">
        <f t="shared" si="81"/>
        <v>8251.4227174694461</v>
      </c>
      <c r="K329" s="265">
        <v>153201</v>
      </c>
      <c r="L329" s="265">
        <v>7916</v>
      </c>
      <c r="M329" s="266">
        <f t="shared" si="89"/>
        <v>0.95086800275576133</v>
      </c>
      <c r="N329" s="266">
        <f t="shared" si="90"/>
        <v>4.9131997244238661E-2</v>
      </c>
      <c r="O329" s="265">
        <f t="shared" si="91"/>
        <v>161117</v>
      </c>
      <c r="P329" s="297">
        <v>49880</v>
      </c>
      <c r="Q329" s="265">
        <f t="shared" si="88"/>
        <v>210997</v>
      </c>
      <c r="R329" s="270">
        <v>36679</v>
      </c>
      <c r="S329" s="298">
        <f t="shared" si="85"/>
        <v>110.137311286844</v>
      </c>
      <c r="T329" s="298">
        <f t="shared" si="86"/>
        <v>5.690869877785766</v>
      </c>
      <c r="U329" s="201">
        <f t="shared" si="87"/>
        <v>151.68727534148096</v>
      </c>
      <c r="V329" s="197" t="s">
        <v>736</v>
      </c>
    </row>
    <row r="330" spans="1:22" ht="14.5" x14ac:dyDescent="0.35">
      <c r="A330" s="255" t="s">
        <v>305</v>
      </c>
      <c r="B330" s="256" t="s">
        <v>315</v>
      </c>
      <c r="C330" s="257" t="s">
        <v>13</v>
      </c>
      <c r="D330" s="257" t="s">
        <v>10</v>
      </c>
      <c r="E330" s="95" t="s">
        <v>485</v>
      </c>
      <c r="F330" s="249" t="s">
        <v>545</v>
      </c>
      <c r="G330" s="249" t="s">
        <v>12</v>
      </c>
      <c r="H330" s="265">
        <v>692</v>
      </c>
      <c r="I330" s="265">
        <v>944021</v>
      </c>
      <c r="J330" s="265">
        <f t="shared" si="81"/>
        <v>1364.192196531792</v>
      </c>
      <c r="K330" s="265">
        <v>9040</v>
      </c>
      <c r="L330" s="265">
        <v>1805</v>
      </c>
      <c r="M330" s="266">
        <f t="shared" si="89"/>
        <v>0.83356385431074231</v>
      </c>
      <c r="N330" s="266">
        <f t="shared" si="90"/>
        <v>0.16643614568925771</v>
      </c>
      <c r="O330" s="265">
        <f t="shared" si="91"/>
        <v>10845</v>
      </c>
      <c r="P330" s="297">
        <v>2352</v>
      </c>
      <c r="Q330" s="265">
        <f t="shared" si="88"/>
        <v>13197</v>
      </c>
      <c r="R330" s="271">
        <v>4171</v>
      </c>
      <c r="S330" s="298">
        <f t="shared" si="85"/>
        <v>13.063583815028903</v>
      </c>
      <c r="T330" s="298">
        <f t="shared" si="86"/>
        <v>2.6083815028901736</v>
      </c>
      <c r="U330" s="201">
        <f t="shared" si="87"/>
        <v>19.070809248554912</v>
      </c>
      <c r="V330" s="200" t="s">
        <v>735</v>
      </c>
    </row>
    <row r="331" spans="1:22" ht="14.5" x14ac:dyDescent="0.35">
      <c r="A331" s="190" t="s">
        <v>305</v>
      </c>
      <c r="B331" s="191" t="s">
        <v>315</v>
      </c>
      <c r="C331" s="191" t="s">
        <v>29</v>
      </c>
      <c r="D331" s="191" t="s">
        <v>5</v>
      </c>
      <c r="E331" s="94" t="str">
        <f>HYPERLINK("https://youtube.com/RicardoPatinoA","https://youtube.com/RicardoPatinoA")</f>
        <v>https://youtube.com/RicardoPatinoA</v>
      </c>
      <c r="F331" s="249" t="s">
        <v>399</v>
      </c>
      <c r="G331" s="249" t="s">
        <v>6</v>
      </c>
      <c r="H331" s="265">
        <v>9</v>
      </c>
      <c r="I331" s="265">
        <v>121</v>
      </c>
      <c r="J331" s="265">
        <f t="shared" si="81"/>
        <v>13.444444444444445</v>
      </c>
      <c r="K331" s="265">
        <v>2</v>
      </c>
      <c r="L331" s="265">
        <v>0</v>
      </c>
      <c r="M331" s="266">
        <f t="shared" si="89"/>
        <v>1</v>
      </c>
      <c r="N331" s="266">
        <f t="shared" si="90"/>
        <v>0</v>
      </c>
      <c r="O331" s="265">
        <f t="shared" si="91"/>
        <v>2</v>
      </c>
      <c r="P331" s="297">
        <v>1</v>
      </c>
      <c r="Q331" s="265">
        <f t="shared" si="88"/>
        <v>3</v>
      </c>
      <c r="R331" s="269">
        <v>13</v>
      </c>
      <c r="S331" s="298">
        <f t="shared" si="85"/>
        <v>0.22222222222222221</v>
      </c>
      <c r="T331" s="298">
        <f t="shared" si="86"/>
        <v>0</v>
      </c>
      <c r="U331" s="201">
        <f t="shared" si="87"/>
        <v>0.33333333333333331</v>
      </c>
      <c r="V331" s="197" t="s">
        <v>736</v>
      </c>
    </row>
    <row r="332" spans="1:22" ht="14.5" x14ac:dyDescent="0.35">
      <c r="A332" s="190" t="s">
        <v>305</v>
      </c>
      <c r="B332" s="191" t="s">
        <v>315</v>
      </c>
      <c r="C332" s="191" t="s">
        <v>14</v>
      </c>
      <c r="D332" s="191" t="s">
        <v>10</v>
      </c>
      <c r="E332" s="94" t="str">
        <f>HYPERLINK("https://youtube.com/CancilleriaEcuador","https://youtube.com/CancilleriaEcuador")</f>
        <v>https://youtube.com/CancilleriaEcuador</v>
      </c>
      <c r="F332" s="249" t="s">
        <v>527</v>
      </c>
      <c r="G332" s="249" t="s">
        <v>12</v>
      </c>
      <c r="H332" s="265">
        <v>905</v>
      </c>
      <c r="I332" s="265">
        <v>360000</v>
      </c>
      <c r="J332" s="265">
        <f t="shared" si="81"/>
        <v>397.79005524861878</v>
      </c>
      <c r="K332" s="265">
        <v>3159</v>
      </c>
      <c r="L332" s="265">
        <v>166</v>
      </c>
      <c r="M332" s="266">
        <f t="shared" si="89"/>
        <v>0.95007518796992485</v>
      </c>
      <c r="N332" s="266">
        <f t="shared" si="90"/>
        <v>4.9924812030075191E-2</v>
      </c>
      <c r="O332" s="265">
        <f t="shared" si="91"/>
        <v>3325</v>
      </c>
      <c r="P332" s="297">
        <v>486</v>
      </c>
      <c r="Q332" s="265">
        <f t="shared" si="88"/>
        <v>3811</v>
      </c>
      <c r="R332" s="269">
        <v>1368</v>
      </c>
      <c r="S332" s="298">
        <f t="shared" si="85"/>
        <v>3.49060773480663</v>
      </c>
      <c r="T332" s="298">
        <f t="shared" si="86"/>
        <v>0.18342541436464088</v>
      </c>
      <c r="U332" s="201">
        <f t="shared" si="87"/>
        <v>4.211049723756906</v>
      </c>
      <c r="V332" s="200" t="s">
        <v>736</v>
      </c>
    </row>
    <row r="333" spans="1:22" ht="14.5" x14ac:dyDescent="0.35">
      <c r="A333" s="196" t="s">
        <v>305</v>
      </c>
      <c r="B333" s="197" t="s">
        <v>318</v>
      </c>
      <c r="C333" s="197" t="s">
        <v>9</v>
      </c>
      <c r="D333" s="197" t="s">
        <v>10</v>
      </c>
      <c r="E333" s="94" t="str">
        <f>HYPERLINK("https://youtube.com/channel/UCv3Sy8PzrAlxncQ9BjOYi9A","https://youtube.com/channel/UCv3Sy8PzrAlxncQ9BjOYi9A")</f>
        <v>https://youtube.com/channel/UCv3Sy8PzrAlxncQ9BjOYi9A</v>
      </c>
      <c r="F333" s="249" t="s">
        <v>384</v>
      </c>
      <c r="G333" s="249" t="s">
        <v>12</v>
      </c>
      <c r="H333" s="265">
        <v>280</v>
      </c>
      <c r="I333" s="265">
        <v>322668</v>
      </c>
      <c r="J333" s="265">
        <f t="shared" ref="J333:J364" si="92">SUM(I333/H333)</f>
        <v>1152.3857142857144</v>
      </c>
      <c r="K333" s="265">
        <v>896</v>
      </c>
      <c r="L333" s="265">
        <v>48</v>
      </c>
      <c r="M333" s="266">
        <f t="shared" si="89"/>
        <v>0.94915254237288138</v>
      </c>
      <c r="N333" s="266">
        <f t="shared" si="90"/>
        <v>5.0847457627118647E-2</v>
      </c>
      <c r="O333" s="265">
        <f t="shared" si="91"/>
        <v>944</v>
      </c>
      <c r="P333" s="297">
        <v>54</v>
      </c>
      <c r="Q333" s="265">
        <f t="shared" si="88"/>
        <v>998</v>
      </c>
      <c r="R333" s="269">
        <v>741</v>
      </c>
      <c r="S333" s="298">
        <f t="shared" ref="S333:S342" si="93">SUM(K333)/H333</f>
        <v>3.2</v>
      </c>
      <c r="T333" s="298">
        <f t="shared" ref="T333:T342" si="94">SUM(L333)/H333</f>
        <v>0.17142857142857143</v>
      </c>
      <c r="U333" s="201">
        <f t="shared" ref="U333:U342" si="95">SUM(Q333)/(H333)</f>
        <v>3.5642857142857145</v>
      </c>
      <c r="V333" s="200" t="s">
        <v>736</v>
      </c>
    </row>
    <row r="334" spans="1:22" ht="14.5" x14ac:dyDescent="0.35">
      <c r="A334" s="190" t="s">
        <v>305</v>
      </c>
      <c r="B334" s="191" t="s">
        <v>318</v>
      </c>
      <c r="C334" s="191" t="s">
        <v>14</v>
      </c>
      <c r="D334" s="191" t="s">
        <v>10</v>
      </c>
      <c r="E334" s="93" t="s">
        <v>319</v>
      </c>
      <c r="F334" s="249" t="s">
        <v>587</v>
      </c>
      <c r="G334" s="249" t="s">
        <v>6</v>
      </c>
      <c r="H334" s="265">
        <v>1</v>
      </c>
      <c r="I334" s="265">
        <v>68</v>
      </c>
      <c r="J334" s="265">
        <f t="shared" si="92"/>
        <v>68</v>
      </c>
      <c r="K334" s="265">
        <v>1</v>
      </c>
      <c r="L334" s="265">
        <v>0</v>
      </c>
      <c r="M334" s="266">
        <f t="shared" si="89"/>
        <v>1</v>
      </c>
      <c r="N334" s="266">
        <f t="shared" si="90"/>
        <v>0</v>
      </c>
      <c r="O334" s="265">
        <f t="shared" si="91"/>
        <v>1</v>
      </c>
      <c r="P334" s="297">
        <v>0</v>
      </c>
      <c r="Q334" s="265">
        <f t="shared" si="88"/>
        <v>1</v>
      </c>
      <c r="R334" s="270">
        <v>1</v>
      </c>
      <c r="S334" s="298">
        <f t="shared" si="93"/>
        <v>1</v>
      </c>
      <c r="T334" s="298">
        <f t="shared" si="94"/>
        <v>0</v>
      </c>
      <c r="U334" s="201">
        <f t="shared" si="95"/>
        <v>1</v>
      </c>
      <c r="V334" s="200" t="s">
        <v>736</v>
      </c>
    </row>
    <row r="335" spans="1:22" ht="14.5" x14ac:dyDescent="0.35">
      <c r="A335" s="190" t="s">
        <v>305</v>
      </c>
      <c r="B335" s="191" t="s">
        <v>320</v>
      </c>
      <c r="C335" s="191" t="s">
        <v>13</v>
      </c>
      <c r="D335" s="191" t="s">
        <v>10</v>
      </c>
      <c r="E335" s="94" t="str">
        <f>HYPERLINK("https://youtube.com/PresidenciaPeru","https://youtube.com/PresidenciaPeru")</f>
        <v>https://youtube.com/PresidenciaPeru</v>
      </c>
      <c r="F335" s="249" t="s">
        <v>528</v>
      </c>
      <c r="G335" s="249" t="s">
        <v>12</v>
      </c>
      <c r="H335" s="265">
        <v>2093</v>
      </c>
      <c r="I335" s="265">
        <v>1649924</v>
      </c>
      <c r="J335" s="265">
        <f t="shared" si="92"/>
        <v>788.3057811753464</v>
      </c>
      <c r="K335" s="265">
        <v>6806</v>
      </c>
      <c r="L335" s="265">
        <v>937</v>
      </c>
      <c r="M335" s="266">
        <f t="shared" si="89"/>
        <v>0.87898747255585685</v>
      </c>
      <c r="N335" s="266">
        <f t="shared" si="90"/>
        <v>0.12101252744414309</v>
      </c>
      <c r="O335" s="265">
        <f t="shared" si="91"/>
        <v>7743</v>
      </c>
      <c r="P335" s="297">
        <v>4744</v>
      </c>
      <c r="Q335" s="265">
        <f t="shared" si="88"/>
        <v>12487</v>
      </c>
      <c r="R335" s="269">
        <v>3732</v>
      </c>
      <c r="S335" s="298">
        <f t="shared" si="93"/>
        <v>3.2517916865742951</v>
      </c>
      <c r="T335" s="298">
        <f t="shared" si="94"/>
        <v>0.44768275203057811</v>
      </c>
      <c r="U335" s="201">
        <f t="shared" si="95"/>
        <v>5.9660774008600095</v>
      </c>
      <c r="V335" s="197" t="s">
        <v>736</v>
      </c>
    </row>
    <row r="336" spans="1:22" ht="14.5" x14ac:dyDescent="0.35">
      <c r="A336" s="198" t="s">
        <v>305</v>
      </c>
      <c r="B336" s="193" t="s">
        <v>320</v>
      </c>
      <c r="C336" s="193" t="s">
        <v>13</v>
      </c>
      <c r="D336" s="193" t="s">
        <v>10</v>
      </c>
      <c r="E336" s="93" t="s">
        <v>486</v>
      </c>
      <c r="F336" s="249" t="s">
        <v>556</v>
      </c>
      <c r="G336" s="249" t="s">
        <v>6</v>
      </c>
      <c r="H336" s="265">
        <v>1</v>
      </c>
      <c r="I336" s="265">
        <v>736</v>
      </c>
      <c r="J336" s="265">
        <f t="shared" si="92"/>
        <v>736</v>
      </c>
      <c r="K336" s="265">
        <v>0</v>
      </c>
      <c r="L336" s="265">
        <v>0</v>
      </c>
      <c r="M336" s="265">
        <v>0</v>
      </c>
      <c r="N336" s="265">
        <v>0</v>
      </c>
      <c r="O336" s="265">
        <v>0</v>
      </c>
      <c r="P336" s="297">
        <v>0</v>
      </c>
      <c r="Q336" s="265">
        <f t="shared" si="88"/>
        <v>0</v>
      </c>
      <c r="R336" s="270">
        <v>2</v>
      </c>
      <c r="S336" s="298">
        <f t="shared" si="93"/>
        <v>0</v>
      </c>
      <c r="T336" s="298">
        <f t="shared" si="94"/>
        <v>0</v>
      </c>
      <c r="U336" s="201">
        <f t="shared" si="95"/>
        <v>0</v>
      </c>
      <c r="V336" s="200" t="s">
        <v>736</v>
      </c>
    </row>
    <row r="337" spans="1:59" ht="14.5" x14ac:dyDescent="0.35">
      <c r="A337" s="190" t="s">
        <v>305</v>
      </c>
      <c r="B337" s="191" t="s">
        <v>320</v>
      </c>
      <c r="C337" s="191" t="s">
        <v>14</v>
      </c>
      <c r="D337" s="191" t="s">
        <v>10</v>
      </c>
      <c r="E337" s="94" t="str">
        <f>HYPERLINK("https://youtube.com/MREPeru","https://youtube.com/MREPeru")</f>
        <v>https://youtube.com/MREPeru</v>
      </c>
      <c r="F337" s="249" t="s">
        <v>544</v>
      </c>
      <c r="G337" s="249" t="s">
        <v>12</v>
      </c>
      <c r="H337" s="265">
        <v>90</v>
      </c>
      <c r="I337" s="265">
        <v>58461</v>
      </c>
      <c r="J337" s="265">
        <f t="shared" si="92"/>
        <v>649.56666666666672</v>
      </c>
      <c r="K337" s="265">
        <v>299</v>
      </c>
      <c r="L337" s="265">
        <v>12</v>
      </c>
      <c r="M337" s="266">
        <f>SUM(K337)/O337</f>
        <v>0.96141479099678462</v>
      </c>
      <c r="N337" s="266">
        <f>SUM(L337)/O337</f>
        <v>3.8585209003215437E-2</v>
      </c>
      <c r="O337" s="265">
        <f>SUM(K337:L337)</f>
        <v>311</v>
      </c>
      <c r="P337" s="297">
        <v>56</v>
      </c>
      <c r="Q337" s="265">
        <f t="shared" si="88"/>
        <v>367</v>
      </c>
      <c r="R337" s="269">
        <v>412</v>
      </c>
      <c r="S337" s="298">
        <f t="shared" si="93"/>
        <v>3.3222222222222224</v>
      </c>
      <c r="T337" s="298">
        <f t="shared" si="94"/>
        <v>0.13333333333333333</v>
      </c>
      <c r="U337" s="201">
        <f t="shared" si="95"/>
        <v>4.0777777777777775</v>
      </c>
      <c r="V337" s="200" t="s">
        <v>736</v>
      </c>
    </row>
    <row r="338" spans="1:59" ht="14.5" x14ac:dyDescent="0.35">
      <c r="A338" s="190" t="s">
        <v>305</v>
      </c>
      <c r="B338" s="191" t="s">
        <v>322</v>
      </c>
      <c r="C338" s="191" t="s">
        <v>9</v>
      </c>
      <c r="D338" s="191" t="s">
        <v>10</v>
      </c>
      <c r="E338" s="94" t="str">
        <f>HYPERLINK("https://youtube.com/Presidenciatv","https://youtube.com/Presidenciatv")</f>
        <v>https://youtube.com/Presidenciatv</v>
      </c>
      <c r="F338" s="249" t="s">
        <v>367</v>
      </c>
      <c r="G338" s="249" t="s">
        <v>12</v>
      </c>
      <c r="H338" s="265">
        <v>1828</v>
      </c>
      <c r="I338" s="265">
        <v>1410774</v>
      </c>
      <c r="J338" s="265">
        <f t="shared" si="92"/>
        <v>771.75820568927793</v>
      </c>
      <c r="K338" s="265">
        <v>8992</v>
      </c>
      <c r="L338" s="265">
        <v>394</v>
      </c>
      <c r="M338" s="266">
        <f>SUM(K338)/O338</f>
        <v>0.95802258683145114</v>
      </c>
      <c r="N338" s="266">
        <f>SUM(L338)/O338</f>
        <v>4.1977413168548902E-2</v>
      </c>
      <c r="O338" s="265">
        <f>SUM(K338:L338)</f>
        <v>9386</v>
      </c>
      <c r="P338" s="297">
        <v>305</v>
      </c>
      <c r="Q338" s="265">
        <f t="shared" si="88"/>
        <v>9691</v>
      </c>
      <c r="R338" s="269" t="s">
        <v>740</v>
      </c>
      <c r="S338" s="298">
        <f t="shared" si="93"/>
        <v>4.9190371991247268</v>
      </c>
      <c r="T338" s="298">
        <f t="shared" si="94"/>
        <v>0.21553610503282275</v>
      </c>
      <c r="U338" s="201">
        <f t="shared" si="95"/>
        <v>5.3014223194748356</v>
      </c>
      <c r="V338" s="197" t="s">
        <v>736</v>
      </c>
    </row>
    <row r="339" spans="1:59" ht="14.5" x14ac:dyDescent="0.35">
      <c r="A339" s="190" t="s">
        <v>305</v>
      </c>
      <c r="B339" s="191" t="s">
        <v>322</v>
      </c>
      <c r="C339" s="260" t="s">
        <v>14</v>
      </c>
      <c r="D339" s="260" t="s">
        <v>10</v>
      </c>
      <c r="E339" s="94" t="str">
        <f>HYPERLINK("https://youtube.com/channel/UCKyBsWoYy4mcsL9x8gwVI1A","https://youtube.com/channel/UCKyBsWoYy4mcsL9x8gwVI1A")</f>
        <v>https://youtube.com/channel/UCKyBsWoYy4mcsL9x8gwVI1A</v>
      </c>
      <c r="F339" s="249" t="s">
        <v>326</v>
      </c>
      <c r="G339" s="249" t="s">
        <v>12</v>
      </c>
      <c r="H339" s="265">
        <v>155</v>
      </c>
      <c r="I339" s="265">
        <v>18504</v>
      </c>
      <c r="J339" s="265">
        <f t="shared" si="92"/>
        <v>119.38064516129032</v>
      </c>
      <c r="K339" s="265">
        <v>87</v>
      </c>
      <c r="L339" s="265">
        <v>5</v>
      </c>
      <c r="M339" s="266">
        <f>SUM(K339)/O339</f>
        <v>0.94565217391304346</v>
      </c>
      <c r="N339" s="266">
        <f>SUM(L339)/O339</f>
        <v>5.434782608695652E-2</v>
      </c>
      <c r="O339" s="265">
        <f>SUM(K339:L339)</f>
        <v>92</v>
      </c>
      <c r="P339" s="297">
        <v>0</v>
      </c>
      <c r="Q339" s="265">
        <f t="shared" si="88"/>
        <v>92</v>
      </c>
      <c r="R339" s="269">
        <v>111</v>
      </c>
      <c r="S339" s="298">
        <f t="shared" si="93"/>
        <v>0.56129032258064515</v>
      </c>
      <c r="T339" s="298">
        <f t="shared" si="94"/>
        <v>3.2258064516129031E-2</v>
      </c>
      <c r="U339" s="201">
        <f t="shared" si="95"/>
        <v>0.59354838709677415</v>
      </c>
      <c r="V339" s="200" t="s">
        <v>736</v>
      </c>
    </row>
    <row r="340" spans="1:59" ht="14.5" x14ac:dyDescent="0.35">
      <c r="A340" s="263" t="s">
        <v>305</v>
      </c>
      <c r="B340" s="260" t="s">
        <v>322</v>
      </c>
      <c r="C340" s="260" t="s">
        <v>14</v>
      </c>
      <c r="D340" s="260" t="s">
        <v>10</v>
      </c>
      <c r="E340" s="93" t="s">
        <v>847</v>
      </c>
      <c r="F340" s="249" t="s">
        <v>401</v>
      </c>
      <c r="G340" s="249" t="s">
        <v>6</v>
      </c>
      <c r="H340" s="265">
        <v>1</v>
      </c>
      <c r="I340" s="265">
        <v>386</v>
      </c>
      <c r="J340" s="265">
        <f t="shared" si="92"/>
        <v>386</v>
      </c>
      <c r="K340" s="265">
        <v>0</v>
      </c>
      <c r="L340" s="265">
        <v>0</v>
      </c>
      <c r="M340" s="265">
        <v>0</v>
      </c>
      <c r="N340" s="265">
        <v>0</v>
      </c>
      <c r="O340" s="265">
        <v>0</v>
      </c>
      <c r="P340" s="297">
        <v>0</v>
      </c>
      <c r="Q340" s="265">
        <f t="shared" si="88"/>
        <v>0</v>
      </c>
      <c r="R340" s="270">
        <v>82</v>
      </c>
      <c r="S340" s="298">
        <f t="shared" si="93"/>
        <v>0</v>
      </c>
      <c r="T340" s="298">
        <f t="shared" si="94"/>
        <v>0</v>
      </c>
      <c r="U340" s="201">
        <f t="shared" si="95"/>
        <v>0</v>
      </c>
      <c r="V340" s="200" t="s">
        <v>736</v>
      </c>
    </row>
    <row r="341" spans="1:59" ht="14.5" x14ac:dyDescent="0.35">
      <c r="A341" s="190" t="s">
        <v>305</v>
      </c>
      <c r="B341" s="191" t="s">
        <v>323</v>
      </c>
      <c r="C341" s="191" t="s">
        <v>4</v>
      </c>
      <c r="D341" s="191" t="s">
        <v>5</v>
      </c>
      <c r="E341" s="94" t="str">
        <f>HYPERLINK("https://youtube.com/maduromoros","https://youtube.com/maduromoros")</f>
        <v>https://youtube.com/maduromoros</v>
      </c>
      <c r="F341" s="249" t="s">
        <v>611</v>
      </c>
      <c r="G341" s="249" t="s">
        <v>12</v>
      </c>
      <c r="H341" s="265">
        <v>631</v>
      </c>
      <c r="I341" s="265">
        <v>476819</v>
      </c>
      <c r="J341" s="265">
        <f t="shared" si="92"/>
        <v>755.65610142630749</v>
      </c>
      <c r="K341" s="265">
        <v>3748</v>
      </c>
      <c r="L341" s="265">
        <v>899</v>
      </c>
      <c r="M341" s="266">
        <f>SUM(K341)/O341</f>
        <v>0.80654185496018937</v>
      </c>
      <c r="N341" s="266">
        <f>SUM(L341)/O341</f>
        <v>0.19345814503981063</v>
      </c>
      <c r="O341" s="265">
        <f>SUM(K341:L341)</f>
        <v>4647</v>
      </c>
      <c r="P341" s="297">
        <v>1616</v>
      </c>
      <c r="Q341" s="265">
        <f t="shared" si="88"/>
        <v>6263</v>
      </c>
      <c r="R341" s="269">
        <v>12531</v>
      </c>
      <c r="S341" s="298">
        <f t="shared" si="93"/>
        <v>5.9397781299524564</v>
      </c>
      <c r="T341" s="298">
        <f t="shared" si="94"/>
        <v>1.4247226624405704</v>
      </c>
      <c r="U341" s="201">
        <f t="shared" si="95"/>
        <v>9.9255150554675122</v>
      </c>
      <c r="V341" s="200" t="s">
        <v>736</v>
      </c>
    </row>
    <row r="342" spans="1:59" s="32" customFormat="1" ht="15" thickBot="1" x14ac:dyDescent="0.4">
      <c r="A342" s="204" t="s">
        <v>305</v>
      </c>
      <c r="B342" s="205" t="s">
        <v>323</v>
      </c>
      <c r="C342" s="205" t="s">
        <v>14</v>
      </c>
      <c r="D342" s="205" t="s">
        <v>10</v>
      </c>
      <c r="E342" s="289" t="str">
        <f>HYPERLINK("https://youtube.com/mpprevideos","https://youtube.com/mpprevideos")</f>
        <v>https://youtube.com/mpprevideos</v>
      </c>
      <c r="F342" s="264" t="s">
        <v>529</v>
      </c>
      <c r="G342" s="264" t="s">
        <v>12</v>
      </c>
      <c r="H342" s="304">
        <v>461</v>
      </c>
      <c r="I342" s="304">
        <v>157989</v>
      </c>
      <c r="J342" s="304">
        <f t="shared" si="92"/>
        <v>342.70932754880693</v>
      </c>
      <c r="K342" s="304">
        <v>575</v>
      </c>
      <c r="L342" s="304">
        <v>83</v>
      </c>
      <c r="M342" s="266">
        <f>SUM(K342)/O342</f>
        <v>0.87386018237082064</v>
      </c>
      <c r="N342" s="266">
        <f>SUM(L342)/O342</f>
        <v>0.12613981762917933</v>
      </c>
      <c r="O342" s="265">
        <f>SUM(K342:L342)</f>
        <v>658</v>
      </c>
      <c r="P342" s="305">
        <v>39</v>
      </c>
      <c r="Q342" s="265">
        <f t="shared" si="88"/>
        <v>697</v>
      </c>
      <c r="R342" s="306">
        <v>877</v>
      </c>
      <c r="S342" s="307">
        <f t="shared" si="93"/>
        <v>1.2472885032537961</v>
      </c>
      <c r="T342" s="307">
        <f t="shared" si="94"/>
        <v>0.18004338394793926</v>
      </c>
      <c r="U342" s="308">
        <f t="shared" si="95"/>
        <v>1.5119305856832972</v>
      </c>
      <c r="V342" s="309" t="s">
        <v>736</v>
      </c>
      <c r="AW342"/>
      <c r="AX342"/>
      <c r="AY342"/>
      <c r="AZ342"/>
      <c r="BA342"/>
      <c r="BB342"/>
      <c r="BC342"/>
      <c r="BD342"/>
      <c r="BE342"/>
      <c r="BF342"/>
      <c r="BG342"/>
    </row>
    <row r="343" spans="1:59" s="32" customFormat="1" x14ac:dyDescent="0.35">
      <c r="A343" s="30"/>
      <c r="B343" s="26"/>
      <c r="C343" s="30"/>
      <c r="D343" s="30"/>
      <c r="E343" s="130"/>
      <c r="F343" s="130"/>
      <c r="G343" s="206"/>
      <c r="H343" s="130"/>
      <c r="I343" s="130"/>
      <c r="J343" s="130"/>
      <c r="K343" s="130"/>
      <c r="L343" s="130"/>
      <c r="M343" s="130"/>
      <c r="N343" s="130"/>
      <c r="O343" s="130"/>
      <c r="P343" s="130"/>
      <c r="Q343" s="130"/>
      <c r="R343" s="31"/>
      <c r="S343" s="31"/>
      <c r="T343" s="31"/>
      <c r="U343" s="31"/>
      <c r="V343" s="31"/>
    </row>
    <row r="344" spans="1:59" s="32" customFormat="1" ht="16" thickBot="1" x14ac:dyDescent="0.4">
      <c r="A344" s="30"/>
      <c r="B344" s="26"/>
      <c r="C344" s="30"/>
      <c r="D344" s="30"/>
      <c r="E344" s="130"/>
      <c r="F344" s="130"/>
      <c r="G344" s="206"/>
      <c r="H344" s="130"/>
      <c r="I344" s="130"/>
      <c r="J344" s="130"/>
      <c r="K344" s="130"/>
      <c r="L344" s="130"/>
      <c r="M344" s="130"/>
      <c r="N344" s="130"/>
      <c r="O344" s="130"/>
      <c r="P344" s="130"/>
      <c r="Q344" s="130"/>
      <c r="R344" s="31"/>
      <c r="S344" s="31"/>
      <c r="T344" s="31"/>
      <c r="U344" s="31"/>
      <c r="V344" s="31"/>
    </row>
    <row r="345" spans="1:59" s="32" customFormat="1" x14ac:dyDescent="0.35">
      <c r="A345" s="30"/>
      <c r="B345" s="26"/>
      <c r="C345" s="30"/>
      <c r="D345" s="30"/>
      <c r="E345" s="130"/>
      <c r="F345" s="130"/>
      <c r="G345" s="206"/>
      <c r="H345" s="212" t="s">
        <v>762</v>
      </c>
      <c r="I345" s="212" t="s">
        <v>763</v>
      </c>
      <c r="J345" s="212" t="s">
        <v>1066</v>
      </c>
      <c r="K345" s="212" t="s">
        <v>764</v>
      </c>
      <c r="L345" s="212" t="s">
        <v>765</v>
      </c>
      <c r="M345" s="212"/>
      <c r="N345" s="212"/>
      <c r="O345" s="212"/>
      <c r="P345" s="212" t="s">
        <v>766</v>
      </c>
      <c r="Q345" s="212" t="s">
        <v>884</v>
      </c>
      <c r="R345" s="213" t="s">
        <v>739</v>
      </c>
      <c r="S345" s="213" t="s">
        <v>1096</v>
      </c>
      <c r="T345" s="213" t="s">
        <v>1097</v>
      </c>
      <c r="U345" s="213" t="s">
        <v>887</v>
      </c>
      <c r="V345" s="31"/>
    </row>
    <row r="346" spans="1:59" s="32" customFormat="1" x14ac:dyDescent="0.35">
      <c r="A346" s="30"/>
      <c r="B346" s="26"/>
      <c r="C346" s="30"/>
      <c r="D346" s="30"/>
      <c r="E346" s="31"/>
      <c r="F346" s="31"/>
      <c r="G346" s="134"/>
      <c r="H346" s="210">
        <f>SUM(H3:H342)</f>
        <v>198617</v>
      </c>
      <c r="I346" s="210">
        <f t="shared" ref="I346:R346" si="96">SUM(I3:I342)</f>
        <v>1259186459</v>
      </c>
      <c r="J346" s="210">
        <f t="shared" si="96"/>
        <v>1469855.9191686886</v>
      </c>
      <c r="K346" s="210">
        <f t="shared" si="96"/>
        <v>5878677</v>
      </c>
      <c r="L346" s="210">
        <f t="shared" si="96"/>
        <v>1760524</v>
      </c>
      <c r="M346" s="210"/>
      <c r="N346" s="210"/>
      <c r="O346" s="210"/>
      <c r="P346" s="210">
        <f t="shared" si="96"/>
        <v>2254700</v>
      </c>
      <c r="Q346" s="210">
        <f t="shared" si="96"/>
        <v>9893901</v>
      </c>
      <c r="R346" s="210">
        <f t="shared" si="96"/>
        <v>3092848</v>
      </c>
      <c r="S346" s="210"/>
      <c r="T346" s="210"/>
      <c r="U346" s="210"/>
      <c r="V346" s="31"/>
    </row>
    <row r="347" spans="1:59" s="32" customFormat="1" x14ac:dyDescent="0.35">
      <c r="A347" s="30"/>
      <c r="B347" s="26"/>
      <c r="C347" s="30"/>
      <c r="D347" s="30"/>
      <c r="E347" s="31"/>
      <c r="F347" s="31"/>
      <c r="G347" s="134"/>
      <c r="H347" s="210">
        <f>AVERAGE(H3:H342)</f>
        <v>584.16764705882349</v>
      </c>
      <c r="I347" s="210">
        <f t="shared" ref="I347:U347" si="97">AVERAGE(I3:I342)</f>
        <v>3703489.5852941177</v>
      </c>
      <c r="J347" s="210">
        <f t="shared" si="97"/>
        <v>4323.10564461379</v>
      </c>
      <c r="K347" s="210">
        <f t="shared" si="97"/>
        <v>17290.226470588233</v>
      </c>
      <c r="L347" s="210">
        <f t="shared" si="97"/>
        <v>5178.0117647058823</v>
      </c>
      <c r="M347" s="210"/>
      <c r="N347" s="210"/>
      <c r="O347" s="210"/>
      <c r="P347" s="210">
        <f t="shared" si="97"/>
        <v>6631.4705882352937</v>
      </c>
      <c r="Q347" s="210">
        <f t="shared" si="97"/>
        <v>29099.70882352941</v>
      </c>
      <c r="R347" s="210">
        <f t="shared" si="97"/>
        <v>9458.2507645259939</v>
      </c>
      <c r="S347" s="210">
        <f t="shared" si="97"/>
        <v>18.318327139723845</v>
      </c>
      <c r="T347" s="210">
        <f t="shared" si="97"/>
        <v>5.4299547301238027</v>
      </c>
      <c r="U347" s="210">
        <f t="shared" si="97"/>
        <v>27.043491481585384</v>
      </c>
      <c r="V347" s="31"/>
    </row>
    <row r="348" spans="1:59" s="32" customFormat="1" ht="16" thickBot="1" x14ac:dyDescent="0.4">
      <c r="A348" s="30"/>
      <c r="B348" s="26"/>
      <c r="C348" s="30"/>
      <c r="D348" s="30"/>
      <c r="E348" s="31"/>
      <c r="F348" s="31"/>
      <c r="G348" s="31"/>
      <c r="H348" s="211">
        <f>MEDIAN(H3:H342)</f>
        <v>149</v>
      </c>
      <c r="I348" s="211">
        <f t="shared" ref="I348:U348" si="98">MEDIAN(I3:I342)</f>
        <v>179131.5</v>
      </c>
      <c r="J348" s="211">
        <f t="shared" si="98"/>
        <v>846.55952380952385</v>
      </c>
      <c r="K348" s="211">
        <f t="shared" si="98"/>
        <v>386.5</v>
      </c>
      <c r="L348" s="211">
        <f t="shared" si="98"/>
        <v>64.5</v>
      </c>
      <c r="M348" s="211"/>
      <c r="N348" s="211"/>
      <c r="O348" s="211"/>
      <c r="P348" s="211">
        <f t="shared" si="98"/>
        <v>28</v>
      </c>
      <c r="Q348" s="211">
        <f t="shared" si="98"/>
        <v>576.5</v>
      </c>
      <c r="R348" s="211">
        <f t="shared" si="98"/>
        <v>494</v>
      </c>
      <c r="S348" s="211">
        <f t="shared" si="98"/>
        <v>2.3978798586572436</v>
      </c>
      <c r="T348" s="211">
        <f t="shared" si="98"/>
        <v>0.43253750098170107</v>
      </c>
      <c r="U348" s="211">
        <f t="shared" si="98"/>
        <v>3.7710258170107176</v>
      </c>
      <c r="V348" s="31"/>
    </row>
    <row r="349" spans="1:59" s="32" customFormat="1" x14ac:dyDescent="0.35">
      <c r="A349" s="30"/>
      <c r="B349" s="26"/>
      <c r="C349" s="30"/>
      <c r="D349" s="30"/>
      <c r="E349" s="31"/>
      <c r="F349" s="31"/>
      <c r="G349" s="31"/>
      <c r="V349" s="31"/>
    </row>
    <row r="350" spans="1:59" s="32" customFormat="1" x14ac:dyDescent="0.35">
      <c r="A350" s="30"/>
      <c r="B350" s="26"/>
      <c r="C350" s="30"/>
      <c r="D350" s="30"/>
      <c r="E350" s="31"/>
      <c r="F350" s="31"/>
      <c r="G350" s="31"/>
      <c r="H350" s="31"/>
      <c r="I350" s="31"/>
      <c r="J350" s="31"/>
      <c r="K350" s="31"/>
      <c r="L350" s="31"/>
      <c r="M350" s="31"/>
      <c r="N350" s="31"/>
      <c r="O350" s="31"/>
      <c r="P350" s="31"/>
      <c r="Q350" s="31"/>
      <c r="R350" s="31"/>
      <c r="S350" s="31"/>
      <c r="T350" s="31"/>
      <c r="U350" s="31"/>
      <c r="V350" s="31"/>
    </row>
    <row r="351" spans="1:59" s="32" customFormat="1" x14ac:dyDescent="0.35">
      <c r="A351" s="30"/>
      <c r="B351" s="26"/>
      <c r="C351" s="30"/>
      <c r="D351" s="30"/>
      <c r="E351" s="31"/>
      <c r="F351" s="31"/>
      <c r="G351" s="31"/>
      <c r="H351" s="31"/>
      <c r="I351" s="31"/>
      <c r="J351" s="31"/>
      <c r="K351" s="31"/>
      <c r="L351" s="31"/>
      <c r="M351" s="31"/>
      <c r="N351" s="31"/>
      <c r="O351" s="31"/>
      <c r="P351" s="31"/>
      <c r="Q351" s="31"/>
      <c r="R351" s="31"/>
      <c r="S351" s="31"/>
      <c r="T351" s="31"/>
      <c r="U351" s="31"/>
      <c r="V351" s="31"/>
    </row>
    <row r="352" spans="1:59" s="32" customFormat="1" x14ac:dyDescent="0.35">
      <c r="A352" s="30"/>
      <c r="B352" s="26"/>
      <c r="C352" s="30"/>
      <c r="D352" s="30"/>
      <c r="E352" s="31"/>
      <c r="F352" s="31"/>
      <c r="G352" s="31"/>
      <c r="H352" s="31"/>
      <c r="I352" s="31"/>
      <c r="J352" s="31"/>
      <c r="K352" s="31"/>
      <c r="L352" s="31"/>
      <c r="M352" s="31"/>
      <c r="N352" s="31"/>
      <c r="O352" s="31"/>
      <c r="P352" s="31"/>
      <c r="Q352" s="31"/>
      <c r="R352" s="31"/>
      <c r="S352" s="31"/>
      <c r="T352" s="31"/>
      <c r="U352" s="31"/>
      <c r="V352" s="31"/>
    </row>
    <row r="353" spans="1:22" s="32" customFormat="1" x14ac:dyDescent="0.35">
      <c r="A353" s="30"/>
      <c r="B353" s="26"/>
      <c r="C353" s="30"/>
      <c r="D353" s="30"/>
      <c r="E353" s="31"/>
      <c r="F353" s="31"/>
      <c r="G353" s="31"/>
      <c r="H353" s="31"/>
      <c r="I353" s="31"/>
      <c r="J353" s="31"/>
      <c r="K353" s="31"/>
      <c r="L353" s="31"/>
      <c r="M353" s="31"/>
      <c r="N353" s="31"/>
      <c r="O353" s="31"/>
      <c r="P353" s="31"/>
      <c r="Q353" s="31"/>
      <c r="R353" s="31"/>
      <c r="S353" s="31"/>
      <c r="T353" s="31"/>
      <c r="U353" s="31"/>
      <c r="V353" s="31"/>
    </row>
    <row r="354" spans="1:22" s="32" customFormat="1" x14ac:dyDescent="0.35">
      <c r="A354" s="30"/>
      <c r="B354" s="26"/>
      <c r="C354" s="30"/>
      <c r="D354" s="30"/>
      <c r="E354" s="31"/>
      <c r="F354" s="31"/>
      <c r="G354" s="31"/>
      <c r="H354" s="31"/>
      <c r="I354" s="31"/>
      <c r="J354" s="31"/>
      <c r="K354" s="31"/>
      <c r="L354" s="31"/>
      <c r="M354" s="31"/>
      <c r="N354" s="31"/>
      <c r="O354" s="31"/>
      <c r="P354" s="31"/>
      <c r="Q354" s="31"/>
      <c r="R354" s="31"/>
      <c r="S354" s="31"/>
      <c r="T354" s="31"/>
      <c r="U354" s="31"/>
      <c r="V354" s="31"/>
    </row>
    <row r="355" spans="1:22" s="32" customFormat="1" x14ac:dyDescent="0.35">
      <c r="A355" s="30"/>
      <c r="B355" s="26"/>
      <c r="C355" s="30"/>
      <c r="D355" s="30"/>
      <c r="E355" s="31"/>
      <c r="F355" s="31"/>
      <c r="G355" s="31"/>
      <c r="H355" s="31"/>
      <c r="I355" s="31"/>
      <c r="J355" s="31"/>
      <c r="K355" s="31"/>
      <c r="L355" s="31"/>
      <c r="M355" s="31"/>
      <c r="N355" s="31"/>
      <c r="O355" s="31"/>
      <c r="P355" s="31"/>
      <c r="Q355" s="31"/>
      <c r="R355" s="31"/>
      <c r="S355" s="31"/>
      <c r="T355" s="31"/>
      <c r="U355" s="31"/>
      <c r="V355" s="31"/>
    </row>
    <row r="356" spans="1:22" s="32" customFormat="1" x14ac:dyDescent="0.35">
      <c r="A356" s="30"/>
      <c r="B356" s="26"/>
      <c r="C356" s="30"/>
      <c r="D356" s="30"/>
      <c r="E356" s="31"/>
      <c r="F356" s="31"/>
      <c r="G356" s="31"/>
      <c r="H356" s="31"/>
      <c r="I356" s="31"/>
      <c r="J356" s="31"/>
      <c r="K356" s="31"/>
      <c r="L356" s="31"/>
      <c r="M356" s="31"/>
      <c r="N356" s="31"/>
      <c r="O356" s="31"/>
      <c r="P356" s="31"/>
      <c r="Q356" s="31"/>
      <c r="R356" s="31"/>
      <c r="S356" s="31"/>
      <c r="T356" s="31"/>
      <c r="U356" s="31"/>
      <c r="V356" s="31"/>
    </row>
    <row r="357" spans="1:22" s="32" customFormat="1" x14ac:dyDescent="0.35">
      <c r="A357" s="33"/>
      <c r="B357" s="26"/>
      <c r="C357" s="33"/>
      <c r="D357" s="33"/>
      <c r="E357" s="34"/>
      <c r="F357" s="34"/>
      <c r="G357" s="34"/>
      <c r="H357" s="34"/>
      <c r="I357" s="34"/>
      <c r="J357" s="34"/>
      <c r="K357" s="34"/>
      <c r="L357" s="34"/>
      <c r="M357" s="34"/>
      <c r="N357" s="34"/>
      <c r="O357" s="34"/>
      <c r="P357" s="34"/>
      <c r="Q357" s="34"/>
      <c r="R357" s="34"/>
      <c r="S357" s="34"/>
      <c r="T357" s="34"/>
      <c r="U357" s="34"/>
      <c r="V357" s="34"/>
    </row>
    <row r="358" spans="1:22" s="32" customFormat="1" x14ac:dyDescent="0.35">
      <c r="A358" s="33"/>
      <c r="B358" s="26"/>
      <c r="C358" s="33"/>
      <c r="D358" s="33"/>
      <c r="E358" s="34"/>
      <c r="F358" s="34"/>
      <c r="G358" s="34"/>
      <c r="H358" s="34"/>
      <c r="I358" s="34"/>
      <c r="J358" s="34"/>
      <c r="K358" s="34"/>
      <c r="L358" s="34"/>
      <c r="M358" s="34"/>
      <c r="N358" s="34"/>
      <c r="O358" s="34"/>
      <c r="P358" s="34"/>
      <c r="Q358" s="34"/>
      <c r="R358" s="34"/>
      <c r="S358" s="34"/>
      <c r="T358" s="34"/>
      <c r="U358" s="34"/>
      <c r="V358" s="34"/>
    </row>
    <row r="359" spans="1:22" s="32" customFormat="1" x14ac:dyDescent="0.35">
      <c r="A359" s="30"/>
      <c r="B359" s="26"/>
      <c r="C359" s="30"/>
      <c r="D359" s="30"/>
      <c r="E359" s="31"/>
      <c r="F359" s="31"/>
      <c r="G359" s="31"/>
      <c r="H359" s="31"/>
      <c r="I359" s="31"/>
      <c r="J359" s="31"/>
      <c r="K359" s="31"/>
      <c r="L359" s="31"/>
      <c r="M359" s="31"/>
      <c r="N359" s="31"/>
      <c r="O359" s="31"/>
      <c r="P359" s="31"/>
      <c r="Q359" s="31"/>
      <c r="R359" s="31"/>
      <c r="S359" s="31"/>
      <c r="T359" s="31"/>
      <c r="U359" s="31"/>
      <c r="V359" s="31"/>
    </row>
    <row r="360" spans="1:22" s="32" customFormat="1" x14ac:dyDescent="0.35">
      <c r="A360" s="30"/>
      <c r="B360" s="26"/>
      <c r="C360" s="30"/>
      <c r="D360" s="30"/>
      <c r="E360" s="31"/>
      <c r="F360" s="31"/>
      <c r="G360" s="31"/>
      <c r="H360" s="31"/>
      <c r="I360" s="31"/>
      <c r="J360" s="31"/>
      <c r="K360" s="31"/>
      <c r="L360" s="31"/>
      <c r="M360" s="31"/>
      <c r="N360" s="31"/>
      <c r="O360" s="31"/>
      <c r="P360" s="31"/>
      <c r="Q360" s="31"/>
      <c r="R360" s="31"/>
      <c r="S360" s="31"/>
      <c r="T360" s="31"/>
      <c r="U360" s="31"/>
      <c r="V360" s="31"/>
    </row>
    <row r="361" spans="1:22" s="32" customFormat="1" x14ac:dyDescent="0.35">
      <c r="A361" s="30"/>
      <c r="B361" s="26"/>
      <c r="C361" s="30"/>
      <c r="D361" s="30"/>
      <c r="E361" s="31"/>
      <c r="F361" s="31"/>
      <c r="G361" s="31"/>
      <c r="H361" s="31"/>
      <c r="I361" s="31"/>
      <c r="J361" s="31"/>
      <c r="K361" s="31"/>
      <c r="L361" s="31"/>
      <c r="M361" s="31"/>
      <c r="N361" s="31"/>
      <c r="O361" s="31"/>
      <c r="P361" s="31"/>
      <c r="Q361" s="31"/>
      <c r="R361" s="31"/>
      <c r="S361" s="31"/>
      <c r="T361" s="31"/>
      <c r="U361" s="31"/>
      <c r="V361" s="31"/>
    </row>
    <row r="362" spans="1:22" s="32" customFormat="1" x14ac:dyDescent="0.35">
      <c r="A362" s="30"/>
      <c r="B362" s="26"/>
      <c r="C362" s="30"/>
      <c r="D362" s="30"/>
      <c r="E362" s="31"/>
      <c r="F362" s="31"/>
      <c r="G362" s="31"/>
      <c r="H362" s="31"/>
      <c r="I362" s="31"/>
      <c r="J362" s="31"/>
      <c r="K362" s="31"/>
      <c r="L362" s="31"/>
      <c r="M362" s="31"/>
      <c r="N362" s="31"/>
      <c r="O362" s="31"/>
      <c r="P362" s="31"/>
      <c r="Q362" s="31"/>
      <c r="R362" s="31"/>
      <c r="S362" s="31"/>
      <c r="T362" s="31"/>
      <c r="U362" s="31"/>
      <c r="V362" s="31"/>
    </row>
    <row r="363" spans="1:22" s="32" customFormat="1" x14ac:dyDescent="0.35">
      <c r="A363" s="35"/>
      <c r="B363" s="26"/>
      <c r="C363" s="35"/>
      <c r="D363" s="35"/>
      <c r="E363" s="36"/>
      <c r="F363" s="36"/>
      <c r="G363" s="36"/>
      <c r="H363" s="36"/>
      <c r="I363" s="36"/>
      <c r="J363" s="36"/>
      <c r="K363" s="36"/>
      <c r="L363" s="36"/>
      <c r="M363" s="36"/>
      <c r="N363" s="36"/>
      <c r="O363" s="36"/>
      <c r="P363" s="36"/>
      <c r="Q363" s="36"/>
      <c r="R363" s="36"/>
      <c r="S363" s="36"/>
      <c r="T363" s="36"/>
      <c r="U363" s="36"/>
      <c r="V363" s="36"/>
    </row>
    <row r="364" spans="1:22" s="32" customFormat="1" x14ac:dyDescent="0.35">
      <c r="A364" s="30"/>
      <c r="B364" s="26"/>
      <c r="C364" s="30"/>
      <c r="D364" s="30"/>
      <c r="E364" s="31"/>
      <c r="F364" s="31"/>
      <c r="G364" s="31"/>
      <c r="H364" s="31"/>
      <c r="I364" s="31"/>
      <c r="J364" s="31"/>
      <c r="K364" s="31"/>
      <c r="L364" s="31"/>
      <c r="M364" s="31"/>
      <c r="N364" s="31"/>
      <c r="O364" s="31"/>
      <c r="P364" s="31"/>
      <c r="Q364" s="31"/>
      <c r="R364" s="31"/>
      <c r="S364" s="31"/>
      <c r="T364" s="31"/>
      <c r="U364" s="31"/>
      <c r="V364" s="31"/>
    </row>
    <row r="365" spans="1:22" s="32" customFormat="1" x14ac:dyDescent="0.35">
      <c r="A365" s="30"/>
      <c r="B365" s="26"/>
      <c r="C365" s="30"/>
      <c r="D365" s="30"/>
      <c r="E365" s="31"/>
      <c r="F365" s="31"/>
      <c r="G365" s="31"/>
      <c r="H365" s="31"/>
      <c r="I365" s="31"/>
      <c r="J365" s="31"/>
      <c r="K365" s="31"/>
      <c r="L365" s="31"/>
      <c r="M365" s="31"/>
      <c r="N365" s="31"/>
      <c r="O365" s="31"/>
      <c r="P365" s="31"/>
      <c r="Q365" s="31"/>
      <c r="R365" s="31"/>
      <c r="S365" s="31"/>
      <c r="T365" s="31"/>
      <c r="U365" s="31"/>
      <c r="V365" s="31"/>
    </row>
    <row r="366" spans="1:22" s="32" customFormat="1" x14ac:dyDescent="0.35">
      <c r="A366" s="30"/>
      <c r="B366" s="26"/>
      <c r="C366" s="30"/>
      <c r="D366" s="30"/>
      <c r="E366" s="31"/>
      <c r="F366" s="31"/>
      <c r="G366" s="31"/>
      <c r="H366" s="31"/>
      <c r="I366" s="31"/>
      <c r="J366" s="31"/>
      <c r="K366" s="31"/>
      <c r="L366" s="31"/>
      <c r="M366" s="31"/>
      <c r="N366" s="31"/>
      <c r="O366" s="31"/>
      <c r="P366" s="31"/>
      <c r="Q366" s="31"/>
      <c r="R366" s="31"/>
      <c r="S366" s="31"/>
      <c r="T366" s="31"/>
      <c r="U366" s="31"/>
      <c r="V366" s="31"/>
    </row>
    <row r="367" spans="1:22" s="32" customFormat="1" x14ac:dyDescent="0.35">
      <c r="A367" s="33"/>
      <c r="B367" s="26"/>
      <c r="C367" s="33"/>
      <c r="D367" s="33"/>
      <c r="E367" s="34"/>
      <c r="F367" s="34"/>
      <c r="G367" s="34"/>
      <c r="H367" s="34"/>
      <c r="I367" s="34"/>
      <c r="J367" s="34"/>
      <c r="K367" s="34"/>
      <c r="L367" s="34"/>
      <c r="M367" s="34"/>
      <c r="N367" s="34"/>
      <c r="O367" s="34"/>
      <c r="P367" s="34"/>
      <c r="Q367" s="34"/>
      <c r="R367" s="34"/>
      <c r="S367" s="34"/>
      <c r="T367" s="34"/>
      <c r="U367" s="34"/>
      <c r="V367" s="34"/>
    </row>
    <row r="368" spans="1:22" s="32" customFormat="1" x14ac:dyDescent="0.35">
      <c r="A368" s="30"/>
      <c r="B368" s="26"/>
      <c r="C368" s="30"/>
      <c r="D368" s="30"/>
      <c r="E368" s="31"/>
      <c r="F368" s="31"/>
      <c r="G368" s="31"/>
      <c r="H368" s="31"/>
      <c r="I368" s="31"/>
      <c r="J368" s="31"/>
      <c r="K368" s="31"/>
      <c r="L368" s="31"/>
      <c r="M368" s="31"/>
      <c r="N368" s="31"/>
      <c r="O368" s="31"/>
      <c r="P368" s="31"/>
      <c r="Q368" s="31"/>
      <c r="R368" s="31"/>
      <c r="S368" s="31"/>
      <c r="T368" s="31"/>
      <c r="U368" s="31"/>
      <c r="V368" s="31"/>
    </row>
    <row r="369" spans="1:22" s="32" customFormat="1" x14ac:dyDescent="0.35">
      <c r="A369" s="33"/>
      <c r="B369" s="26"/>
      <c r="C369" s="33"/>
      <c r="D369" s="33"/>
      <c r="E369" s="34"/>
      <c r="F369" s="34"/>
      <c r="G369" s="34"/>
      <c r="H369" s="34"/>
      <c r="I369" s="34"/>
      <c r="J369" s="34"/>
      <c r="K369" s="34"/>
      <c r="L369" s="34"/>
      <c r="M369" s="34"/>
      <c r="N369" s="34"/>
      <c r="O369" s="34"/>
      <c r="P369" s="34"/>
      <c r="Q369" s="34"/>
      <c r="R369" s="34"/>
      <c r="S369" s="34"/>
      <c r="T369" s="34"/>
      <c r="U369" s="34"/>
      <c r="V369" s="34"/>
    </row>
    <row r="370" spans="1:22" s="32" customFormat="1" x14ac:dyDescent="0.35">
      <c r="A370" s="33"/>
      <c r="B370" s="26"/>
      <c r="C370" s="33"/>
      <c r="D370" s="33"/>
      <c r="E370" s="34"/>
      <c r="F370" s="34"/>
      <c r="G370" s="34"/>
      <c r="H370" s="34"/>
      <c r="I370" s="34"/>
      <c r="J370" s="34"/>
      <c r="K370" s="34"/>
      <c r="L370" s="34"/>
      <c r="M370" s="34"/>
      <c r="N370" s="34"/>
      <c r="O370" s="34"/>
      <c r="P370" s="34"/>
      <c r="Q370" s="34"/>
      <c r="R370" s="34"/>
      <c r="S370" s="34"/>
      <c r="T370" s="34"/>
      <c r="U370" s="34"/>
      <c r="V370" s="34"/>
    </row>
    <row r="371" spans="1:22" s="32" customFormat="1" x14ac:dyDescent="0.35">
      <c r="A371" s="30"/>
      <c r="B371" s="26"/>
      <c r="C371" s="30"/>
      <c r="D371" s="30"/>
      <c r="E371" s="31"/>
      <c r="F371" s="31"/>
      <c r="G371" s="31"/>
      <c r="H371" s="31"/>
      <c r="I371" s="31"/>
      <c r="J371" s="31"/>
      <c r="K371" s="31"/>
      <c r="L371" s="31"/>
      <c r="M371" s="31"/>
      <c r="N371" s="31"/>
      <c r="O371" s="31"/>
      <c r="P371" s="31"/>
      <c r="Q371" s="31"/>
      <c r="R371" s="31"/>
      <c r="S371" s="31"/>
      <c r="T371" s="31"/>
      <c r="U371" s="31"/>
      <c r="V371" s="31"/>
    </row>
    <row r="372" spans="1:22" s="32" customFormat="1" x14ac:dyDescent="0.35">
      <c r="A372" s="30"/>
      <c r="B372" s="26"/>
      <c r="C372" s="30"/>
      <c r="D372" s="30"/>
      <c r="E372" s="31"/>
      <c r="F372" s="31"/>
      <c r="G372" s="31"/>
      <c r="H372" s="31"/>
      <c r="I372" s="31"/>
      <c r="J372" s="31"/>
      <c r="K372" s="31"/>
      <c r="L372" s="31"/>
      <c r="M372" s="31"/>
      <c r="N372" s="31"/>
      <c r="O372" s="31"/>
      <c r="P372" s="31"/>
      <c r="Q372" s="31"/>
      <c r="R372" s="31"/>
      <c r="S372" s="31"/>
      <c r="T372" s="31"/>
      <c r="U372" s="31"/>
      <c r="V372" s="31"/>
    </row>
    <row r="373" spans="1:22" s="32" customFormat="1" x14ac:dyDescent="0.35">
      <c r="A373" s="30"/>
      <c r="B373" s="26"/>
      <c r="C373" s="30"/>
      <c r="D373" s="30"/>
      <c r="E373" s="31"/>
      <c r="F373" s="31"/>
      <c r="G373" s="31"/>
      <c r="H373" s="31"/>
      <c r="I373" s="31"/>
      <c r="J373" s="31"/>
      <c r="K373" s="31"/>
      <c r="L373" s="31"/>
      <c r="M373" s="31"/>
      <c r="N373" s="31"/>
      <c r="O373" s="31"/>
      <c r="P373" s="31"/>
      <c r="Q373" s="31"/>
      <c r="R373" s="31"/>
      <c r="S373" s="31"/>
      <c r="T373" s="31"/>
      <c r="U373" s="31"/>
      <c r="V373" s="31"/>
    </row>
    <row r="374" spans="1:22" s="32" customFormat="1" x14ac:dyDescent="0.35">
      <c r="A374" s="28"/>
      <c r="B374" s="26"/>
      <c r="C374" s="28"/>
      <c r="D374" s="28"/>
      <c r="E374" s="34"/>
      <c r="F374" s="34"/>
      <c r="G374" s="34"/>
      <c r="H374" s="34"/>
      <c r="I374" s="34"/>
      <c r="J374" s="34"/>
      <c r="K374" s="34"/>
      <c r="L374" s="34"/>
      <c r="M374" s="34"/>
      <c r="N374" s="34"/>
      <c r="O374" s="34"/>
      <c r="P374" s="34"/>
      <c r="Q374" s="34"/>
      <c r="R374" s="34"/>
      <c r="S374" s="34"/>
      <c r="T374" s="34"/>
      <c r="U374" s="34"/>
      <c r="V374" s="34"/>
    </row>
    <row r="375" spans="1:22" s="32" customFormat="1" x14ac:dyDescent="0.35">
      <c r="A375" s="30"/>
      <c r="B375" s="26"/>
      <c r="C375" s="30"/>
      <c r="D375" s="30"/>
      <c r="E375" s="31"/>
      <c r="F375" s="31"/>
      <c r="G375" s="31"/>
      <c r="H375" s="31"/>
      <c r="I375" s="31"/>
      <c r="J375" s="31"/>
      <c r="K375" s="31"/>
      <c r="L375" s="31"/>
      <c r="M375" s="31"/>
      <c r="N375" s="31"/>
      <c r="O375" s="31"/>
      <c r="P375" s="31"/>
      <c r="Q375" s="31"/>
      <c r="R375" s="31"/>
      <c r="S375" s="31"/>
      <c r="T375" s="31"/>
      <c r="U375" s="31"/>
      <c r="V375" s="31"/>
    </row>
    <row r="376" spans="1:22" s="32" customFormat="1" x14ac:dyDescent="0.35">
      <c r="A376" s="30"/>
      <c r="B376" s="26"/>
      <c r="C376" s="30"/>
      <c r="D376" s="30"/>
      <c r="E376" s="31"/>
      <c r="F376" s="31"/>
      <c r="G376" s="31"/>
      <c r="H376" s="31"/>
      <c r="I376" s="31"/>
      <c r="J376" s="31"/>
      <c r="K376" s="31"/>
      <c r="L376" s="31"/>
      <c r="M376" s="31"/>
      <c r="N376" s="31"/>
      <c r="O376" s="31"/>
      <c r="P376" s="31"/>
      <c r="Q376" s="31"/>
      <c r="R376" s="31"/>
      <c r="S376" s="31"/>
      <c r="T376" s="31"/>
      <c r="U376" s="31"/>
      <c r="V376" s="31"/>
    </row>
    <row r="377" spans="1:22" s="32" customFormat="1" x14ac:dyDescent="0.35">
      <c r="A377" s="30"/>
      <c r="B377" s="26"/>
      <c r="C377" s="30"/>
      <c r="D377" s="30"/>
      <c r="E377" s="31"/>
      <c r="F377" s="31"/>
      <c r="G377" s="31"/>
      <c r="H377" s="31"/>
      <c r="I377" s="31"/>
      <c r="J377" s="31"/>
      <c r="K377" s="31"/>
      <c r="L377" s="31"/>
      <c r="M377" s="31"/>
      <c r="N377" s="31"/>
      <c r="O377" s="31"/>
      <c r="P377" s="31"/>
      <c r="Q377" s="31"/>
      <c r="R377" s="31"/>
      <c r="S377" s="31"/>
      <c r="T377" s="31"/>
      <c r="U377" s="31"/>
      <c r="V377" s="31"/>
    </row>
    <row r="378" spans="1:22" s="32" customFormat="1" x14ac:dyDescent="0.35">
      <c r="A378" s="30"/>
      <c r="B378" s="26"/>
      <c r="C378" s="30"/>
      <c r="D378" s="30"/>
      <c r="E378" s="31"/>
      <c r="F378" s="31"/>
      <c r="G378" s="31"/>
      <c r="H378" s="31"/>
      <c r="I378" s="31"/>
      <c r="J378" s="31"/>
      <c r="K378" s="31"/>
      <c r="L378" s="31"/>
      <c r="M378" s="31"/>
      <c r="N378" s="31"/>
      <c r="O378" s="31"/>
      <c r="P378" s="31"/>
      <c r="Q378" s="31"/>
      <c r="R378" s="31"/>
      <c r="S378" s="31"/>
      <c r="T378" s="31"/>
      <c r="U378" s="31"/>
      <c r="V378" s="31"/>
    </row>
    <row r="379" spans="1:22" s="32" customFormat="1" x14ac:dyDescent="0.35">
      <c r="A379" s="30"/>
      <c r="B379" s="26"/>
      <c r="C379" s="30"/>
      <c r="D379" s="30"/>
      <c r="E379" s="31"/>
      <c r="F379" s="31"/>
      <c r="G379" s="31"/>
      <c r="H379" s="31"/>
      <c r="I379" s="31"/>
      <c r="J379" s="31"/>
      <c r="K379" s="31"/>
      <c r="L379" s="31"/>
      <c r="M379" s="31"/>
      <c r="N379" s="31"/>
      <c r="O379" s="31"/>
      <c r="P379" s="31"/>
      <c r="Q379" s="31"/>
      <c r="R379" s="31"/>
      <c r="S379" s="31"/>
      <c r="T379" s="31"/>
      <c r="U379" s="31"/>
      <c r="V379" s="31"/>
    </row>
    <row r="380" spans="1:22" s="32" customFormat="1" x14ac:dyDescent="0.35">
      <c r="A380" s="30"/>
      <c r="B380" s="26"/>
      <c r="C380" s="30"/>
      <c r="D380" s="30"/>
      <c r="E380" s="31"/>
      <c r="F380" s="31"/>
      <c r="G380" s="31"/>
      <c r="H380" s="31"/>
      <c r="I380" s="31"/>
      <c r="J380" s="31"/>
      <c r="K380" s="31"/>
      <c r="L380" s="31"/>
      <c r="M380" s="31"/>
      <c r="N380" s="31"/>
      <c r="O380" s="31"/>
      <c r="P380" s="31"/>
      <c r="Q380" s="31"/>
      <c r="R380" s="31"/>
      <c r="S380" s="31"/>
      <c r="T380" s="31"/>
      <c r="U380" s="31"/>
      <c r="V380" s="31"/>
    </row>
    <row r="381" spans="1:22" s="32" customFormat="1" x14ac:dyDescent="0.35">
      <c r="A381" s="30"/>
      <c r="B381" s="26"/>
      <c r="C381" s="30"/>
      <c r="D381" s="30"/>
      <c r="E381" s="31"/>
      <c r="F381" s="31"/>
      <c r="G381" s="31"/>
      <c r="H381" s="31"/>
      <c r="I381" s="31"/>
      <c r="J381" s="31"/>
      <c r="K381" s="31"/>
      <c r="L381" s="31"/>
      <c r="M381" s="31"/>
      <c r="N381" s="31"/>
      <c r="O381" s="31"/>
      <c r="P381" s="31"/>
      <c r="Q381" s="31"/>
      <c r="R381" s="31"/>
      <c r="S381" s="31"/>
      <c r="T381" s="31"/>
      <c r="U381" s="31"/>
      <c r="V381" s="31"/>
    </row>
    <row r="382" spans="1:22" s="32" customFormat="1" x14ac:dyDescent="0.35">
      <c r="A382" s="30"/>
      <c r="B382" s="26"/>
      <c r="C382" s="30"/>
      <c r="D382" s="30"/>
      <c r="E382" s="31"/>
      <c r="F382" s="31"/>
      <c r="G382" s="31"/>
      <c r="H382" s="31"/>
      <c r="I382" s="31"/>
      <c r="J382" s="31"/>
      <c r="K382" s="31"/>
      <c r="L382" s="31"/>
      <c r="M382" s="31"/>
      <c r="N382" s="31"/>
      <c r="O382" s="31"/>
      <c r="P382" s="31"/>
      <c r="Q382" s="31"/>
      <c r="R382" s="31"/>
      <c r="S382" s="31"/>
      <c r="T382" s="31"/>
      <c r="U382" s="31"/>
      <c r="V382" s="31"/>
    </row>
    <row r="383" spans="1:22" s="32" customFormat="1" x14ac:dyDescent="0.35">
      <c r="A383" s="33"/>
      <c r="B383" s="26"/>
      <c r="C383" s="33"/>
      <c r="D383" s="33"/>
      <c r="E383" s="34"/>
      <c r="F383" s="34"/>
      <c r="G383" s="34"/>
      <c r="H383" s="34"/>
      <c r="I383" s="34"/>
      <c r="J383" s="34"/>
      <c r="K383" s="34"/>
      <c r="L383" s="34"/>
      <c r="M383" s="34"/>
      <c r="N383" s="34"/>
      <c r="O383" s="34"/>
      <c r="P383" s="34"/>
      <c r="Q383" s="34"/>
      <c r="R383" s="34"/>
      <c r="S383" s="34"/>
      <c r="T383" s="34"/>
      <c r="U383" s="34"/>
      <c r="V383" s="34"/>
    </row>
    <row r="384" spans="1:22" s="32" customFormat="1" x14ac:dyDescent="0.35">
      <c r="A384" s="30"/>
      <c r="B384" s="26"/>
      <c r="C384" s="30"/>
      <c r="D384" s="30"/>
      <c r="E384" s="31"/>
      <c r="F384" s="31"/>
      <c r="G384" s="31"/>
      <c r="H384" s="31"/>
      <c r="I384" s="31"/>
      <c r="J384" s="31"/>
      <c r="K384" s="31"/>
      <c r="L384" s="31"/>
      <c r="M384" s="31"/>
      <c r="N384" s="31"/>
      <c r="O384" s="31"/>
      <c r="P384" s="31"/>
      <c r="Q384" s="31"/>
      <c r="R384" s="31"/>
      <c r="S384" s="31"/>
      <c r="T384" s="31"/>
      <c r="U384" s="31"/>
      <c r="V384" s="31"/>
    </row>
    <row r="385" spans="1:22" s="32" customFormat="1" x14ac:dyDescent="0.35">
      <c r="A385" s="30"/>
      <c r="B385" s="26"/>
      <c r="C385" s="30"/>
      <c r="D385" s="30"/>
      <c r="E385" s="31"/>
      <c r="F385" s="31"/>
      <c r="G385" s="31"/>
      <c r="H385" s="31"/>
      <c r="I385" s="31"/>
      <c r="J385" s="31"/>
      <c r="K385" s="31"/>
      <c r="L385" s="31"/>
      <c r="M385" s="31"/>
      <c r="N385" s="31"/>
      <c r="O385" s="31"/>
      <c r="P385" s="31"/>
      <c r="Q385" s="31"/>
      <c r="R385" s="31"/>
      <c r="S385" s="31"/>
      <c r="T385" s="31"/>
      <c r="U385" s="31"/>
      <c r="V385" s="31"/>
    </row>
    <row r="386" spans="1:22" s="32" customFormat="1" x14ac:dyDescent="0.35">
      <c r="A386" s="30"/>
      <c r="B386" s="26"/>
      <c r="C386" s="30"/>
      <c r="D386" s="30"/>
      <c r="E386" s="31"/>
      <c r="F386" s="31"/>
      <c r="G386" s="31"/>
      <c r="H386" s="31"/>
      <c r="I386" s="31"/>
      <c r="J386" s="31"/>
      <c r="K386" s="31"/>
      <c r="L386" s="31"/>
      <c r="M386" s="31"/>
      <c r="N386" s="31"/>
      <c r="O386" s="31"/>
      <c r="P386" s="31"/>
      <c r="Q386" s="31"/>
      <c r="R386" s="31"/>
      <c r="S386" s="31"/>
      <c r="T386" s="31"/>
      <c r="U386" s="31"/>
      <c r="V386" s="31"/>
    </row>
    <row r="387" spans="1:22" s="32" customFormat="1" x14ac:dyDescent="0.35">
      <c r="A387" s="30"/>
      <c r="B387" s="26"/>
      <c r="C387" s="30"/>
      <c r="D387" s="30"/>
      <c r="E387" s="31"/>
      <c r="F387" s="31"/>
      <c r="G387" s="31"/>
      <c r="H387" s="31"/>
      <c r="I387" s="31"/>
      <c r="J387" s="31"/>
      <c r="K387" s="31"/>
      <c r="L387" s="31"/>
      <c r="M387" s="31"/>
      <c r="N387" s="31"/>
      <c r="O387" s="31"/>
      <c r="P387" s="31"/>
      <c r="Q387" s="31"/>
      <c r="R387" s="31"/>
      <c r="S387" s="31"/>
      <c r="T387" s="31"/>
      <c r="U387" s="31"/>
      <c r="V387" s="31"/>
    </row>
    <row r="388" spans="1:22" s="32" customFormat="1" x14ac:dyDescent="0.35">
      <c r="A388" s="35"/>
      <c r="B388" s="26"/>
      <c r="C388" s="35"/>
      <c r="D388" s="35"/>
      <c r="E388" s="36"/>
      <c r="F388" s="36"/>
      <c r="G388" s="36"/>
      <c r="H388" s="36"/>
      <c r="I388" s="36"/>
      <c r="J388" s="36"/>
      <c r="K388" s="36"/>
      <c r="L388" s="36"/>
      <c r="M388" s="36"/>
      <c r="N388" s="36"/>
      <c r="O388" s="36"/>
      <c r="P388" s="36"/>
      <c r="Q388" s="36"/>
      <c r="R388" s="36"/>
      <c r="S388" s="36"/>
      <c r="T388" s="36"/>
      <c r="U388" s="36"/>
      <c r="V388" s="36"/>
    </row>
    <row r="389" spans="1:22" s="32" customFormat="1" x14ac:dyDescent="0.35">
      <c r="A389" s="30"/>
      <c r="B389" s="26"/>
      <c r="C389" s="30"/>
      <c r="D389" s="30"/>
      <c r="E389" s="31"/>
      <c r="F389" s="31"/>
      <c r="G389" s="31"/>
      <c r="H389" s="31"/>
      <c r="I389" s="31"/>
      <c r="J389" s="31"/>
      <c r="K389" s="31"/>
      <c r="L389" s="31"/>
      <c r="M389" s="31"/>
      <c r="N389" s="31"/>
      <c r="O389" s="31"/>
      <c r="P389" s="31"/>
      <c r="Q389" s="31"/>
      <c r="R389" s="31"/>
      <c r="S389" s="31"/>
      <c r="T389" s="31"/>
      <c r="U389" s="31"/>
      <c r="V389" s="31"/>
    </row>
    <row r="390" spans="1:22" s="32" customFormat="1" x14ac:dyDescent="0.35">
      <c r="A390" s="30"/>
      <c r="B390" s="26"/>
      <c r="C390" s="30"/>
      <c r="D390" s="30"/>
      <c r="E390" s="31"/>
      <c r="F390" s="31"/>
      <c r="G390" s="31"/>
      <c r="H390" s="31"/>
      <c r="I390" s="31"/>
      <c r="J390" s="31"/>
      <c r="K390" s="31"/>
      <c r="L390" s="31"/>
      <c r="M390" s="31"/>
      <c r="N390" s="31"/>
      <c r="O390" s="31"/>
      <c r="P390" s="31"/>
      <c r="Q390" s="31"/>
      <c r="R390" s="31"/>
      <c r="S390" s="31"/>
      <c r="T390" s="31"/>
      <c r="U390" s="31"/>
      <c r="V390" s="31"/>
    </row>
    <row r="391" spans="1:22" s="32" customFormat="1" x14ac:dyDescent="0.35">
      <c r="A391" s="30"/>
      <c r="B391" s="26"/>
      <c r="C391" s="30"/>
      <c r="D391" s="30"/>
      <c r="E391" s="31"/>
      <c r="F391" s="31"/>
      <c r="G391" s="31"/>
      <c r="H391" s="31"/>
      <c r="I391" s="31"/>
      <c r="J391" s="31"/>
      <c r="K391" s="31"/>
      <c r="L391" s="31"/>
      <c r="M391" s="31"/>
      <c r="N391" s="31"/>
      <c r="O391" s="31"/>
      <c r="P391" s="31"/>
      <c r="Q391" s="31"/>
      <c r="R391" s="31"/>
      <c r="S391" s="31"/>
      <c r="T391" s="31"/>
      <c r="U391" s="31"/>
      <c r="V391" s="31"/>
    </row>
    <row r="392" spans="1:22" s="32" customFormat="1" x14ac:dyDescent="0.35">
      <c r="A392" s="30"/>
      <c r="B392" s="26"/>
      <c r="C392" s="30"/>
      <c r="D392" s="30"/>
      <c r="E392" s="31"/>
      <c r="F392" s="31"/>
      <c r="G392" s="31"/>
      <c r="H392" s="31"/>
      <c r="I392" s="31"/>
      <c r="J392" s="31"/>
      <c r="K392" s="31"/>
      <c r="L392" s="31"/>
      <c r="M392" s="31"/>
      <c r="N392" s="31"/>
      <c r="O392" s="31"/>
      <c r="P392" s="31"/>
      <c r="Q392" s="31"/>
      <c r="R392" s="31"/>
      <c r="S392" s="31"/>
      <c r="T392" s="31"/>
      <c r="U392" s="31"/>
      <c r="V392" s="31"/>
    </row>
    <row r="393" spans="1:22" s="32" customFormat="1" x14ac:dyDescent="0.35">
      <c r="A393" s="30"/>
      <c r="B393" s="26"/>
      <c r="C393" s="30"/>
      <c r="D393" s="30"/>
      <c r="E393" s="31"/>
      <c r="F393" s="31"/>
      <c r="G393" s="31"/>
      <c r="H393" s="31"/>
      <c r="I393" s="31"/>
      <c r="J393" s="31"/>
      <c r="K393" s="31"/>
      <c r="L393" s="31"/>
      <c r="M393" s="31"/>
      <c r="N393" s="31"/>
      <c r="O393" s="31"/>
      <c r="P393" s="31"/>
      <c r="Q393" s="31"/>
      <c r="R393" s="31"/>
      <c r="S393" s="31"/>
      <c r="T393" s="31"/>
      <c r="U393" s="31"/>
      <c r="V393" s="31"/>
    </row>
    <row r="394" spans="1:22" s="32" customFormat="1" x14ac:dyDescent="0.35">
      <c r="A394" s="30"/>
      <c r="B394" s="26"/>
      <c r="C394" s="30"/>
      <c r="D394" s="30"/>
      <c r="E394" s="31"/>
      <c r="F394" s="31"/>
      <c r="G394" s="31"/>
      <c r="H394" s="31"/>
      <c r="I394" s="31"/>
      <c r="J394" s="31"/>
      <c r="K394" s="31"/>
      <c r="L394" s="31"/>
      <c r="M394" s="31"/>
      <c r="N394" s="31"/>
      <c r="O394" s="31"/>
      <c r="P394" s="31"/>
      <c r="Q394" s="31"/>
      <c r="R394" s="31"/>
      <c r="S394" s="31"/>
      <c r="T394" s="31"/>
      <c r="U394" s="31"/>
      <c r="V394" s="31"/>
    </row>
    <row r="395" spans="1:22" s="32" customFormat="1" x14ac:dyDescent="0.35">
      <c r="A395" s="30"/>
      <c r="B395" s="26"/>
      <c r="C395" s="30"/>
      <c r="D395" s="30"/>
      <c r="E395" s="31"/>
      <c r="F395" s="31"/>
      <c r="G395" s="31"/>
      <c r="H395" s="31"/>
      <c r="I395" s="31"/>
      <c r="J395" s="31"/>
      <c r="K395" s="31"/>
      <c r="L395" s="31"/>
      <c r="M395" s="31"/>
      <c r="N395" s="31"/>
      <c r="O395" s="31"/>
      <c r="P395" s="31"/>
      <c r="Q395" s="31"/>
      <c r="R395" s="31"/>
      <c r="S395" s="31"/>
      <c r="T395" s="31"/>
      <c r="U395" s="31"/>
      <c r="V395" s="31"/>
    </row>
    <row r="396" spans="1:22" s="32" customFormat="1" x14ac:dyDescent="0.35">
      <c r="A396" s="30"/>
      <c r="B396" s="26"/>
      <c r="C396" s="30"/>
      <c r="D396" s="30"/>
      <c r="E396" s="31"/>
      <c r="F396" s="31"/>
      <c r="G396" s="31"/>
      <c r="H396" s="31"/>
      <c r="I396" s="31"/>
      <c r="J396" s="31"/>
      <c r="K396" s="31"/>
      <c r="L396" s="31"/>
      <c r="M396" s="31"/>
      <c r="N396" s="31"/>
      <c r="O396" s="31"/>
      <c r="P396" s="31"/>
      <c r="Q396" s="31"/>
      <c r="R396" s="31"/>
      <c r="S396" s="31"/>
      <c r="T396" s="31"/>
      <c r="U396" s="31"/>
      <c r="V396" s="31"/>
    </row>
    <row r="397" spans="1:22" s="32" customFormat="1" x14ac:dyDescent="0.35">
      <c r="A397" s="28"/>
      <c r="B397" s="26"/>
      <c r="C397" s="28"/>
      <c r="D397" s="28"/>
      <c r="E397" s="34"/>
      <c r="F397" s="34"/>
      <c r="G397" s="34"/>
      <c r="H397" s="34"/>
      <c r="I397" s="34"/>
      <c r="J397" s="34"/>
      <c r="K397" s="34"/>
      <c r="L397" s="34"/>
      <c r="M397" s="34"/>
      <c r="N397" s="34"/>
      <c r="O397" s="34"/>
      <c r="P397" s="34"/>
      <c r="Q397" s="34"/>
      <c r="R397" s="34"/>
      <c r="S397" s="34"/>
      <c r="T397" s="34"/>
      <c r="U397" s="34"/>
      <c r="V397" s="34"/>
    </row>
    <row r="398" spans="1:22" s="32" customFormat="1" x14ac:dyDescent="0.35">
      <c r="A398" s="30"/>
      <c r="B398" s="26"/>
      <c r="C398" s="30"/>
      <c r="D398" s="30"/>
      <c r="E398" s="31"/>
      <c r="F398" s="31"/>
      <c r="G398" s="31"/>
      <c r="H398" s="31"/>
      <c r="I398" s="31"/>
      <c r="J398" s="31"/>
      <c r="K398" s="31"/>
      <c r="L398" s="31"/>
      <c r="M398" s="31"/>
      <c r="N398" s="31"/>
      <c r="O398" s="31"/>
      <c r="P398" s="31"/>
      <c r="Q398" s="31"/>
      <c r="R398" s="31"/>
      <c r="S398" s="31"/>
      <c r="T398" s="31"/>
      <c r="U398" s="31"/>
      <c r="V398" s="31"/>
    </row>
    <row r="399" spans="1:22" s="32" customFormat="1" x14ac:dyDescent="0.35">
      <c r="A399" s="30"/>
      <c r="B399" s="26"/>
      <c r="C399" s="30"/>
      <c r="D399" s="30"/>
      <c r="E399" s="31"/>
      <c r="F399" s="31"/>
      <c r="G399" s="31"/>
      <c r="H399" s="31"/>
      <c r="I399" s="31"/>
      <c r="J399" s="31"/>
      <c r="K399" s="31"/>
      <c r="L399" s="31"/>
      <c r="M399" s="31"/>
      <c r="N399" s="31"/>
      <c r="O399" s="31"/>
      <c r="P399" s="31"/>
      <c r="Q399" s="31"/>
      <c r="R399" s="31"/>
      <c r="S399" s="31"/>
      <c r="T399" s="31"/>
      <c r="U399" s="31"/>
      <c r="V399" s="31"/>
    </row>
    <row r="400" spans="1:22" s="32" customFormat="1" x14ac:dyDescent="0.35">
      <c r="A400" s="30"/>
      <c r="B400" s="26"/>
      <c r="C400" s="30"/>
      <c r="D400" s="30"/>
      <c r="E400" s="31"/>
      <c r="F400" s="31"/>
      <c r="G400" s="31"/>
      <c r="H400" s="31"/>
      <c r="I400" s="31"/>
      <c r="J400" s="31"/>
      <c r="K400" s="31"/>
      <c r="L400" s="31"/>
      <c r="M400" s="31"/>
      <c r="N400" s="31"/>
      <c r="O400" s="31"/>
      <c r="P400" s="31"/>
      <c r="Q400" s="31"/>
      <c r="R400" s="31"/>
      <c r="S400" s="31"/>
      <c r="T400" s="31"/>
      <c r="U400" s="31"/>
      <c r="V400" s="31"/>
    </row>
    <row r="401" spans="1:22" s="32" customFormat="1" x14ac:dyDescent="0.35">
      <c r="A401" s="30"/>
      <c r="B401" s="26"/>
      <c r="C401" s="30"/>
      <c r="D401" s="30"/>
      <c r="E401" s="31"/>
      <c r="F401" s="31"/>
      <c r="G401" s="31"/>
      <c r="H401" s="31"/>
      <c r="I401" s="31"/>
      <c r="J401" s="31"/>
      <c r="K401" s="31"/>
      <c r="L401" s="31"/>
      <c r="M401" s="31"/>
      <c r="N401" s="31"/>
      <c r="O401" s="31"/>
      <c r="P401" s="31"/>
      <c r="Q401" s="31"/>
      <c r="R401" s="31"/>
      <c r="S401" s="31"/>
      <c r="T401" s="31"/>
      <c r="U401" s="31"/>
      <c r="V401" s="31"/>
    </row>
    <row r="402" spans="1:22" s="32" customFormat="1" x14ac:dyDescent="0.35">
      <c r="A402" s="30"/>
      <c r="B402" s="26"/>
      <c r="C402" s="30"/>
      <c r="D402" s="30"/>
      <c r="E402" s="31"/>
      <c r="F402" s="31"/>
      <c r="G402" s="31"/>
      <c r="H402" s="31"/>
      <c r="I402" s="31"/>
      <c r="J402" s="31"/>
      <c r="K402" s="31"/>
      <c r="L402" s="31"/>
      <c r="M402" s="31"/>
      <c r="N402" s="31"/>
      <c r="O402" s="31"/>
      <c r="P402" s="31"/>
      <c r="Q402" s="31"/>
      <c r="R402" s="31"/>
      <c r="S402" s="31"/>
      <c r="T402" s="31"/>
      <c r="U402" s="31"/>
      <c r="V402" s="31"/>
    </row>
    <row r="403" spans="1:22" s="32" customFormat="1" x14ac:dyDescent="0.35">
      <c r="A403" s="30"/>
      <c r="B403" s="26"/>
      <c r="C403" s="30"/>
      <c r="D403" s="30"/>
      <c r="E403" s="31"/>
      <c r="F403" s="31"/>
      <c r="G403" s="31"/>
      <c r="H403" s="31"/>
      <c r="I403" s="31"/>
      <c r="J403" s="31"/>
      <c r="K403" s="31"/>
      <c r="L403" s="31"/>
      <c r="M403" s="31"/>
      <c r="N403" s="31"/>
      <c r="O403" s="31"/>
      <c r="P403" s="31"/>
      <c r="Q403" s="31"/>
      <c r="R403" s="31"/>
      <c r="S403" s="31"/>
      <c r="T403" s="31"/>
      <c r="U403" s="31"/>
      <c r="V403" s="31"/>
    </row>
    <row r="404" spans="1:22" s="32" customFormat="1" x14ac:dyDescent="0.35">
      <c r="A404" s="30"/>
      <c r="B404" s="26"/>
      <c r="C404" s="30"/>
      <c r="D404" s="30"/>
      <c r="E404" s="31"/>
      <c r="F404" s="31"/>
      <c r="G404" s="31"/>
      <c r="H404" s="31"/>
      <c r="I404" s="31"/>
      <c r="J404" s="31"/>
      <c r="K404" s="31"/>
      <c r="L404" s="31"/>
      <c r="M404" s="31"/>
      <c r="N404" s="31"/>
      <c r="O404" s="31"/>
      <c r="P404" s="31"/>
      <c r="Q404" s="31"/>
      <c r="R404" s="31"/>
      <c r="S404" s="31"/>
      <c r="T404" s="31"/>
      <c r="U404" s="31"/>
      <c r="V404" s="31"/>
    </row>
    <row r="405" spans="1:22" s="32" customFormat="1" x14ac:dyDescent="0.35">
      <c r="A405" s="30"/>
      <c r="B405" s="26"/>
      <c r="C405" s="30"/>
      <c r="D405" s="30"/>
      <c r="E405" s="31"/>
      <c r="F405" s="31"/>
      <c r="G405" s="31"/>
      <c r="H405" s="31"/>
      <c r="I405" s="31"/>
      <c r="J405" s="31"/>
      <c r="K405" s="31"/>
      <c r="L405" s="31"/>
      <c r="M405" s="31"/>
      <c r="N405" s="31"/>
      <c r="O405" s="31"/>
      <c r="P405" s="31"/>
      <c r="Q405" s="31"/>
      <c r="R405" s="31"/>
      <c r="S405" s="31"/>
      <c r="T405" s="31"/>
      <c r="U405" s="31"/>
      <c r="V405" s="31"/>
    </row>
    <row r="406" spans="1:22" s="32" customFormat="1" x14ac:dyDescent="0.35">
      <c r="A406" s="30"/>
      <c r="B406" s="27"/>
      <c r="C406" s="30"/>
      <c r="D406" s="30"/>
      <c r="E406" s="31"/>
      <c r="F406" s="31"/>
      <c r="G406" s="31"/>
      <c r="H406" s="31"/>
      <c r="I406" s="31"/>
      <c r="J406" s="31"/>
      <c r="K406" s="31"/>
      <c r="L406" s="31"/>
      <c r="M406" s="31"/>
      <c r="N406" s="31"/>
      <c r="O406" s="31"/>
      <c r="P406" s="31"/>
      <c r="Q406" s="31"/>
      <c r="R406" s="31"/>
      <c r="S406" s="31"/>
      <c r="T406" s="31"/>
      <c r="U406" s="31"/>
      <c r="V406" s="31"/>
    </row>
    <row r="407" spans="1:22" s="32" customFormat="1" x14ac:dyDescent="0.35">
      <c r="A407" s="30"/>
      <c r="B407" s="26"/>
      <c r="C407" s="30"/>
      <c r="D407" s="30"/>
      <c r="E407" s="31"/>
      <c r="F407" s="31"/>
      <c r="G407" s="31"/>
      <c r="H407" s="31"/>
      <c r="I407" s="31"/>
      <c r="J407" s="31"/>
      <c r="K407" s="31"/>
      <c r="L407" s="31"/>
      <c r="M407" s="31"/>
      <c r="N407" s="31"/>
      <c r="O407" s="31"/>
      <c r="P407" s="31"/>
      <c r="Q407" s="31"/>
      <c r="R407" s="31"/>
      <c r="S407" s="31"/>
      <c r="T407" s="31"/>
      <c r="U407" s="31"/>
      <c r="V407" s="31"/>
    </row>
    <row r="408" spans="1:22" s="32" customFormat="1" x14ac:dyDescent="0.35">
      <c r="A408" s="30"/>
      <c r="B408" s="26"/>
      <c r="C408" s="30"/>
      <c r="D408" s="30"/>
      <c r="E408" s="31"/>
      <c r="F408" s="31"/>
      <c r="G408" s="31"/>
      <c r="H408" s="31"/>
      <c r="I408" s="31"/>
      <c r="J408" s="31"/>
      <c r="K408" s="31"/>
      <c r="L408" s="31"/>
      <c r="M408" s="31"/>
      <c r="N408" s="31"/>
      <c r="O408" s="31"/>
      <c r="P408" s="31"/>
      <c r="Q408" s="31"/>
      <c r="R408" s="31"/>
      <c r="S408" s="31"/>
      <c r="T408" s="31"/>
      <c r="U408" s="31"/>
      <c r="V408" s="31"/>
    </row>
    <row r="409" spans="1:22" s="32" customFormat="1" x14ac:dyDescent="0.35">
      <c r="A409" s="30"/>
      <c r="B409" s="26"/>
      <c r="C409" s="30"/>
      <c r="D409" s="30"/>
      <c r="E409" s="37"/>
      <c r="F409" s="37"/>
      <c r="G409" s="37"/>
      <c r="H409" s="37"/>
      <c r="I409" s="37"/>
      <c r="J409" s="37"/>
      <c r="K409" s="37"/>
      <c r="L409" s="37"/>
      <c r="M409" s="37"/>
      <c r="N409" s="37"/>
      <c r="O409" s="37"/>
      <c r="P409" s="37"/>
      <c r="Q409" s="37"/>
      <c r="R409" s="37"/>
      <c r="S409" s="37"/>
      <c r="T409" s="37"/>
      <c r="U409" s="37"/>
      <c r="V409" s="31"/>
    </row>
    <row r="410" spans="1:22" s="32" customFormat="1" x14ac:dyDescent="0.35">
      <c r="A410" s="30"/>
      <c r="B410" s="26"/>
      <c r="C410" s="30"/>
      <c r="D410" s="30"/>
      <c r="E410" s="31"/>
      <c r="F410" s="31"/>
      <c r="G410" s="31"/>
      <c r="H410" s="31"/>
      <c r="I410" s="31"/>
      <c r="J410" s="31"/>
      <c r="K410" s="31"/>
      <c r="L410" s="31"/>
      <c r="M410" s="31"/>
      <c r="N410" s="31"/>
      <c r="O410" s="31"/>
      <c r="P410" s="31"/>
      <c r="Q410" s="31"/>
      <c r="R410" s="31"/>
      <c r="S410" s="31"/>
      <c r="T410" s="31"/>
      <c r="U410" s="31"/>
      <c r="V410" s="31"/>
    </row>
    <row r="411" spans="1:22" s="32" customFormat="1" x14ac:dyDescent="0.35">
      <c r="A411" s="30"/>
      <c r="B411" s="26"/>
      <c r="C411" s="30"/>
      <c r="D411" s="30"/>
      <c r="E411" s="31"/>
      <c r="F411" s="31"/>
      <c r="G411" s="31"/>
      <c r="H411" s="31"/>
      <c r="I411" s="31"/>
      <c r="J411" s="31"/>
      <c r="K411" s="31"/>
      <c r="L411" s="31"/>
      <c r="M411" s="31"/>
      <c r="N411" s="31"/>
      <c r="O411" s="31"/>
      <c r="P411" s="31"/>
      <c r="Q411" s="31"/>
      <c r="R411" s="31"/>
      <c r="S411" s="31"/>
      <c r="T411" s="31"/>
      <c r="U411" s="31"/>
      <c r="V411" s="31"/>
    </row>
    <row r="412" spans="1:22" s="32" customFormat="1" x14ac:dyDescent="0.35">
      <c r="A412" s="30"/>
      <c r="B412" s="26"/>
      <c r="C412" s="30"/>
      <c r="D412" s="30"/>
      <c r="E412" s="31"/>
      <c r="F412" s="31"/>
      <c r="G412" s="31"/>
      <c r="H412" s="31"/>
      <c r="I412" s="31"/>
      <c r="J412" s="31"/>
      <c r="K412" s="31"/>
      <c r="L412" s="31"/>
      <c r="M412" s="31"/>
      <c r="N412" s="31"/>
      <c r="O412" s="31"/>
      <c r="P412" s="31"/>
      <c r="Q412" s="31"/>
      <c r="R412" s="31"/>
      <c r="S412" s="31"/>
      <c r="T412" s="31"/>
      <c r="U412" s="31"/>
      <c r="V412" s="31"/>
    </row>
    <row r="413" spans="1:22" s="32" customFormat="1" x14ac:dyDescent="0.35">
      <c r="A413" s="30"/>
      <c r="B413" s="26"/>
      <c r="C413" s="30"/>
      <c r="D413" s="30"/>
      <c r="E413" s="31"/>
      <c r="F413" s="31"/>
      <c r="G413" s="31"/>
      <c r="H413" s="31"/>
      <c r="I413" s="31"/>
      <c r="J413" s="31"/>
      <c r="K413" s="31"/>
      <c r="L413" s="31"/>
      <c r="M413" s="31"/>
      <c r="N413" s="31"/>
      <c r="O413" s="31"/>
      <c r="P413" s="31"/>
      <c r="Q413" s="31"/>
      <c r="R413" s="31"/>
      <c r="S413" s="31"/>
      <c r="T413" s="31"/>
      <c r="U413" s="31"/>
      <c r="V413" s="31"/>
    </row>
    <row r="414" spans="1:22" s="32" customFormat="1" x14ac:dyDescent="0.35">
      <c r="A414" s="33"/>
      <c r="B414" s="26"/>
      <c r="C414" s="33"/>
      <c r="D414" s="33"/>
      <c r="E414" s="34"/>
      <c r="F414" s="34"/>
      <c r="G414" s="34"/>
      <c r="H414" s="34"/>
      <c r="I414" s="34"/>
      <c r="J414" s="34"/>
      <c r="K414" s="34"/>
      <c r="L414" s="34"/>
      <c r="M414" s="34"/>
      <c r="N414" s="34"/>
      <c r="O414" s="34"/>
      <c r="P414" s="34"/>
      <c r="Q414" s="34"/>
      <c r="R414" s="34"/>
      <c r="S414" s="34"/>
      <c r="T414" s="34"/>
      <c r="U414" s="34"/>
      <c r="V414" s="34"/>
    </row>
    <row r="415" spans="1:22" s="32" customFormat="1" x14ac:dyDescent="0.35">
      <c r="A415" s="30"/>
      <c r="B415" s="26"/>
      <c r="C415" s="30"/>
      <c r="D415" s="30"/>
      <c r="E415" s="31"/>
      <c r="F415" s="31"/>
      <c r="G415" s="31"/>
      <c r="H415" s="31"/>
      <c r="I415" s="31"/>
      <c r="J415" s="31"/>
      <c r="K415" s="31"/>
      <c r="L415" s="31"/>
      <c r="M415" s="31"/>
      <c r="N415" s="31"/>
      <c r="O415" s="31"/>
      <c r="P415" s="31"/>
      <c r="Q415" s="31"/>
      <c r="R415" s="31"/>
      <c r="S415" s="31"/>
      <c r="T415" s="31"/>
      <c r="U415" s="31"/>
      <c r="V415" s="31"/>
    </row>
    <row r="416" spans="1:22" s="32" customFormat="1" x14ac:dyDescent="0.35">
      <c r="A416" s="30"/>
      <c r="B416" s="26"/>
      <c r="C416" s="30"/>
      <c r="D416" s="30"/>
      <c r="E416" s="31"/>
      <c r="F416" s="31"/>
      <c r="G416" s="31"/>
      <c r="H416" s="31"/>
      <c r="I416" s="31"/>
      <c r="J416" s="31"/>
      <c r="K416" s="31"/>
      <c r="L416" s="31"/>
      <c r="M416" s="31"/>
      <c r="N416" s="31"/>
      <c r="O416" s="31"/>
      <c r="P416" s="31"/>
      <c r="Q416" s="31"/>
      <c r="R416" s="31"/>
      <c r="S416" s="31"/>
      <c r="T416" s="31"/>
      <c r="U416" s="31"/>
      <c r="V416" s="31"/>
    </row>
    <row r="417" spans="1:22" s="32" customFormat="1" x14ac:dyDescent="0.35">
      <c r="A417" s="30"/>
      <c r="B417" s="26"/>
      <c r="C417" s="30"/>
      <c r="D417" s="30"/>
      <c r="E417" s="31"/>
      <c r="F417" s="31"/>
      <c r="G417" s="31"/>
      <c r="H417" s="31"/>
      <c r="I417" s="31"/>
      <c r="J417" s="31"/>
      <c r="K417" s="31"/>
      <c r="L417" s="31"/>
      <c r="M417" s="31"/>
      <c r="N417" s="31"/>
      <c r="O417" s="31"/>
      <c r="P417" s="31"/>
      <c r="Q417" s="31"/>
      <c r="R417" s="31"/>
      <c r="S417" s="31"/>
      <c r="T417" s="31"/>
      <c r="U417" s="31"/>
      <c r="V417" s="31"/>
    </row>
    <row r="418" spans="1:22" s="32" customFormat="1" x14ac:dyDescent="0.35">
      <c r="A418" s="30"/>
      <c r="B418" s="26"/>
      <c r="C418" s="30"/>
      <c r="D418" s="30"/>
      <c r="E418" s="31"/>
      <c r="F418" s="31"/>
      <c r="G418" s="31"/>
      <c r="H418" s="31"/>
      <c r="I418" s="31"/>
      <c r="J418" s="31"/>
      <c r="K418" s="31"/>
      <c r="L418" s="31"/>
      <c r="M418" s="31"/>
      <c r="N418" s="31"/>
      <c r="O418" s="31"/>
      <c r="P418" s="31"/>
      <c r="Q418" s="31"/>
      <c r="R418" s="31"/>
      <c r="S418" s="31"/>
      <c r="T418" s="31"/>
      <c r="U418" s="31"/>
      <c r="V418" s="31"/>
    </row>
    <row r="419" spans="1:22" s="32" customFormat="1" x14ac:dyDescent="0.35">
      <c r="A419" s="30"/>
      <c r="B419" s="26"/>
      <c r="C419" s="30"/>
      <c r="D419" s="30"/>
      <c r="E419" s="31"/>
      <c r="F419" s="31"/>
      <c r="G419" s="31"/>
      <c r="H419" s="31"/>
      <c r="I419" s="31"/>
      <c r="J419" s="31"/>
      <c r="K419" s="31"/>
      <c r="L419" s="31"/>
      <c r="M419" s="31"/>
      <c r="N419" s="31"/>
      <c r="O419" s="31"/>
      <c r="P419" s="31"/>
      <c r="Q419" s="31"/>
      <c r="R419" s="31"/>
      <c r="S419" s="31"/>
      <c r="T419" s="31"/>
      <c r="U419" s="31"/>
      <c r="V419" s="31"/>
    </row>
    <row r="420" spans="1:22" s="32" customFormat="1" x14ac:dyDescent="0.35">
      <c r="A420" s="30"/>
      <c r="B420" s="26"/>
      <c r="C420" s="30"/>
      <c r="D420" s="30"/>
      <c r="E420" s="31"/>
      <c r="F420" s="31"/>
      <c r="G420" s="31"/>
      <c r="H420" s="31"/>
      <c r="I420" s="31"/>
      <c r="J420" s="31"/>
      <c r="K420" s="31"/>
      <c r="L420" s="31"/>
      <c r="M420" s="31"/>
      <c r="N420" s="31"/>
      <c r="O420" s="31"/>
      <c r="P420" s="31"/>
      <c r="Q420" s="31"/>
      <c r="R420" s="31"/>
      <c r="S420" s="31"/>
      <c r="T420" s="31"/>
      <c r="U420" s="31"/>
      <c r="V420" s="31"/>
    </row>
    <row r="421" spans="1:22" s="32" customFormat="1" x14ac:dyDescent="0.35">
      <c r="A421" s="33"/>
      <c r="B421" s="26"/>
      <c r="C421" s="33"/>
      <c r="D421" s="33"/>
      <c r="E421" s="34"/>
      <c r="F421" s="34"/>
      <c r="G421" s="34"/>
      <c r="H421" s="34"/>
      <c r="I421" s="34"/>
      <c r="J421" s="34"/>
      <c r="K421" s="34"/>
      <c r="L421" s="34"/>
      <c r="M421" s="34"/>
      <c r="N421" s="34"/>
      <c r="O421" s="34"/>
      <c r="P421" s="34"/>
      <c r="Q421" s="34"/>
      <c r="R421" s="34"/>
      <c r="S421" s="34"/>
      <c r="T421" s="34"/>
      <c r="U421" s="34"/>
      <c r="V421" s="34"/>
    </row>
    <row r="422" spans="1:22" s="32" customFormat="1" x14ac:dyDescent="0.35">
      <c r="A422" s="30"/>
      <c r="B422" s="26"/>
      <c r="C422" s="30"/>
      <c r="D422" s="30"/>
      <c r="E422" s="31"/>
      <c r="F422" s="31"/>
      <c r="G422" s="31"/>
      <c r="H422" s="31"/>
      <c r="I422" s="31"/>
      <c r="J422" s="31"/>
      <c r="K422" s="31"/>
      <c r="L422" s="31"/>
      <c r="M422" s="31"/>
      <c r="N422" s="31"/>
      <c r="O422" s="31"/>
      <c r="P422" s="31"/>
      <c r="Q422" s="31"/>
      <c r="R422" s="31"/>
      <c r="S422" s="31"/>
      <c r="T422" s="31"/>
      <c r="U422" s="31"/>
      <c r="V422" s="31"/>
    </row>
    <row r="423" spans="1:22" s="32" customFormat="1" x14ac:dyDescent="0.35">
      <c r="A423" s="30"/>
      <c r="B423" s="26"/>
      <c r="C423" s="30"/>
      <c r="D423" s="30"/>
      <c r="E423" s="31"/>
      <c r="F423" s="31"/>
      <c r="G423" s="31"/>
      <c r="H423" s="31"/>
      <c r="I423" s="31"/>
      <c r="J423" s="31"/>
      <c r="K423" s="31"/>
      <c r="L423" s="31"/>
      <c r="M423" s="31"/>
      <c r="N423" s="31"/>
      <c r="O423" s="31"/>
      <c r="P423" s="31"/>
      <c r="Q423" s="31"/>
      <c r="R423" s="31"/>
      <c r="S423" s="31"/>
      <c r="T423" s="31"/>
      <c r="U423" s="31"/>
      <c r="V423" s="31"/>
    </row>
    <row r="424" spans="1:22" s="32" customFormat="1" x14ac:dyDescent="0.35">
      <c r="A424" s="30"/>
      <c r="B424" s="26"/>
      <c r="C424" s="30"/>
      <c r="D424" s="30"/>
      <c r="E424" s="31"/>
      <c r="F424" s="31"/>
      <c r="G424" s="31"/>
      <c r="H424" s="31"/>
      <c r="I424" s="31"/>
      <c r="J424" s="31"/>
      <c r="K424" s="31"/>
      <c r="L424" s="31"/>
      <c r="M424" s="31"/>
      <c r="N424" s="31"/>
      <c r="O424" s="31"/>
      <c r="P424" s="31"/>
      <c r="Q424" s="31"/>
      <c r="R424" s="31"/>
      <c r="S424" s="31"/>
      <c r="T424" s="31"/>
      <c r="U424" s="31"/>
      <c r="V424" s="31"/>
    </row>
    <row r="425" spans="1:22" s="32" customFormat="1" x14ac:dyDescent="0.35">
      <c r="A425" s="30"/>
      <c r="B425" s="26"/>
      <c r="C425" s="30"/>
      <c r="D425" s="30"/>
      <c r="E425" s="31"/>
      <c r="F425" s="31"/>
      <c r="G425" s="31"/>
      <c r="H425" s="31"/>
      <c r="I425" s="31"/>
      <c r="J425" s="31"/>
      <c r="K425" s="31"/>
      <c r="L425" s="31"/>
      <c r="M425" s="31"/>
      <c r="N425" s="31"/>
      <c r="O425" s="31"/>
      <c r="P425" s="31"/>
      <c r="Q425" s="31"/>
      <c r="R425" s="31"/>
      <c r="S425" s="31"/>
      <c r="T425" s="31"/>
      <c r="U425" s="31"/>
      <c r="V425" s="31"/>
    </row>
    <row r="426" spans="1:22" s="32" customFormat="1" x14ac:dyDescent="0.35">
      <c r="A426" s="33"/>
      <c r="B426" s="26"/>
      <c r="C426" s="33"/>
      <c r="D426" s="33"/>
      <c r="E426" s="34"/>
      <c r="F426" s="34"/>
      <c r="G426" s="34"/>
      <c r="H426" s="34"/>
      <c r="I426" s="34"/>
      <c r="J426" s="34"/>
      <c r="K426" s="34"/>
      <c r="L426" s="34"/>
      <c r="M426" s="34"/>
      <c r="N426" s="34"/>
      <c r="O426" s="34"/>
      <c r="P426" s="34"/>
      <c r="Q426" s="34"/>
      <c r="R426" s="34"/>
      <c r="S426" s="34"/>
      <c r="T426" s="34"/>
      <c r="U426" s="34"/>
      <c r="V426" s="34"/>
    </row>
    <row r="427" spans="1:22" s="32" customFormat="1" x14ac:dyDescent="0.35">
      <c r="A427" s="30"/>
      <c r="B427" s="26"/>
      <c r="C427" s="30"/>
      <c r="D427" s="30"/>
      <c r="E427" s="31"/>
      <c r="F427" s="31"/>
      <c r="G427" s="31"/>
      <c r="H427" s="31"/>
      <c r="I427" s="31"/>
      <c r="J427" s="31"/>
      <c r="K427" s="31"/>
      <c r="L427" s="31"/>
      <c r="M427" s="31"/>
      <c r="N427" s="31"/>
      <c r="O427" s="31"/>
      <c r="P427" s="31"/>
      <c r="Q427" s="31"/>
      <c r="R427" s="31"/>
      <c r="S427" s="31"/>
      <c r="T427" s="31"/>
      <c r="U427" s="31"/>
      <c r="V427" s="31"/>
    </row>
    <row r="428" spans="1:22" s="32" customFormat="1" x14ac:dyDescent="0.35">
      <c r="A428" s="30"/>
      <c r="B428" s="26"/>
      <c r="C428" s="30"/>
      <c r="D428" s="30"/>
      <c r="E428" s="31"/>
      <c r="F428" s="31"/>
      <c r="G428" s="31"/>
      <c r="H428" s="31"/>
      <c r="I428" s="31"/>
      <c r="J428" s="31"/>
      <c r="K428" s="31"/>
      <c r="L428" s="31"/>
      <c r="M428" s="31"/>
      <c r="N428" s="31"/>
      <c r="O428" s="31"/>
      <c r="P428" s="31"/>
      <c r="Q428" s="31"/>
      <c r="R428" s="31"/>
      <c r="S428" s="31"/>
      <c r="T428" s="31"/>
      <c r="U428" s="31"/>
      <c r="V428" s="31"/>
    </row>
    <row r="429" spans="1:22" s="32" customFormat="1" x14ac:dyDescent="0.35">
      <c r="A429" s="30"/>
      <c r="B429" s="26"/>
      <c r="C429" s="30"/>
      <c r="D429" s="30"/>
      <c r="E429" s="31"/>
      <c r="F429" s="31"/>
      <c r="G429" s="31"/>
      <c r="H429" s="31"/>
      <c r="I429" s="31"/>
      <c r="J429" s="31"/>
      <c r="K429" s="31"/>
      <c r="L429" s="31"/>
      <c r="M429" s="31"/>
      <c r="N429" s="31"/>
      <c r="O429" s="31"/>
      <c r="P429" s="31"/>
      <c r="Q429" s="31"/>
      <c r="R429" s="31"/>
      <c r="S429" s="31"/>
      <c r="T429" s="31"/>
      <c r="U429" s="31"/>
      <c r="V429" s="31"/>
    </row>
    <row r="430" spans="1:22" s="32" customFormat="1" x14ac:dyDescent="0.35">
      <c r="A430" s="30"/>
      <c r="B430" s="26"/>
      <c r="C430" s="30"/>
      <c r="D430" s="30"/>
      <c r="E430" s="31"/>
      <c r="F430" s="31"/>
      <c r="G430" s="31"/>
      <c r="H430" s="31"/>
      <c r="I430" s="31"/>
      <c r="J430" s="31"/>
      <c r="K430" s="31"/>
      <c r="L430" s="31"/>
      <c r="M430" s="31"/>
      <c r="N430" s="31"/>
      <c r="O430" s="31"/>
      <c r="P430" s="31"/>
      <c r="Q430" s="31"/>
      <c r="R430" s="31"/>
      <c r="S430" s="31"/>
      <c r="T430" s="31"/>
      <c r="U430" s="31"/>
      <c r="V430" s="31"/>
    </row>
    <row r="431" spans="1:22" s="32" customFormat="1" x14ac:dyDescent="0.35">
      <c r="A431" s="30"/>
      <c r="B431" s="26"/>
      <c r="C431" s="30"/>
      <c r="D431" s="30"/>
      <c r="E431" s="31"/>
      <c r="F431" s="31"/>
      <c r="G431" s="31"/>
      <c r="H431" s="31"/>
      <c r="I431" s="31"/>
      <c r="J431" s="31"/>
      <c r="K431" s="31"/>
      <c r="L431" s="31"/>
      <c r="M431" s="31"/>
      <c r="N431" s="31"/>
      <c r="O431" s="31"/>
      <c r="P431" s="31"/>
      <c r="Q431" s="31"/>
      <c r="R431" s="31"/>
      <c r="S431" s="31"/>
      <c r="T431" s="31"/>
      <c r="U431" s="31"/>
      <c r="V431" s="31"/>
    </row>
    <row r="432" spans="1:22" s="32" customFormat="1" x14ac:dyDescent="0.35">
      <c r="A432" s="35"/>
      <c r="B432" s="26"/>
      <c r="C432" s="35"/>
      <c r="D432" s="35"/>
      <c r="E432" s="36"/>
      <c r="F432" s="36"/>
      <c r="G432" s="36"/>
      <c r="H432" s="36"/>
      <c r="I432" s="36"/>
      <c r="J432" s="36"/>
      <c r="K432" s="36"/>
      <c r="L432" s="36"/>
      <c r="M432" s="36"/>
      <c r="N432" s="36"/>
      <c r="O432" s="36"/>
      <c r="P432" s="36"/>
      <c r="Q432" s="36"/>
      <c r="R432" s="36"/>
      <c r="S432" s="36"/>
      <c r="T432" s="36"/>
      <c r="U432" s="36"/>
      <c r="V432" s="36"/>
    </row>
    <row r="433" spans="1:22" s="32" customFormat="1" x14ac:dyDescent="0.35">
      <c r="A433" s="30"/>
      <c r="B433" s="26"/>
      <c r="C433" s="30"/>
      <c r="D433" s="30"/>
      <c r="E433" s="31"/>
      <c r="F433" s="31"/>
      <c r="G433" s="31"/>
      <c r="H433" s="31"/>
      <c r="I433" s="31"/>
      <c r="J433" s="31"/>
      <c r="K433" s="31"/>
      <c r="L433" s="31"/>
      <c r="M433" s="31"/>
      <c r="N433" s="31"/>
      <c r="O433" s="31"/>
      <c r="P433" s="31"/>
      <c r="Q433" s="31"/>
      <c r="R433" s="31"/>
      <c r="S433" s="31"/>
      <c r="T433" s="31"/>
      <c r="U433" s="31"/>
      <c r="V433" s="31"/>
    </row>
    <row r="434" spans="1:22" s="32" customFormat="1" x14ac:dyDescent="0.35">
      <c r="A434" s="30"/>
      <c r="B434" s="26"/>
      <c r="C434" s="30"/>
      <c r="D434" s="30"/>
      <c r="E434" s="31"/>
      <c r="F434" s="31"/>
      <c r="G434" s="31"/>
      <c r="H434" s="31"/>
      <c r="I434" s="31"/>
      <c r="J434" s="31"/>
      <c r="K434" s="31"/>
      <c r="L434" s="31"/>
      <c r="M434" s="31"/>
      <c r="N434" s="31"/>
      <c r="O434" s="31"/>
      <c r="P434" s="31"/>
      <c r="Q434" s="31"/>
      <c r="R434" s="31"/>
      <c r="S434" s="31"/>
      <c r="T434" s="31"/>
      <c r="U434" s="31"/>
      <c r="V434" s="31"/>
    </row>
    <row r="435" spans="1:22" s="32" customFormat="1" x14ac:dyDescent="0.35">
      <c r="A435" s="30"/>
      <c r="B435" s="26"/>
      <c r="C435" s="30"/>
      <c r="D435" s="30"/>
      <c r="E435" s="31"/>
      <c r="F435" s="31"/>
      <c r="G435" s="31"/>
      <c r="H435" s="31"/>
      <c r="I435" s="31"/>
      <c r="J435" s="31"/>
      <c r="K435" s="31"/>
      <c r="L435" s="31"/>
      <c r="M435" s="31"/>
      <c r="N435" s="31"/>
      <c r="O435" s="31"/>
      <c r="P435" s="31"/>
      <c r="Q435" s="31"/>
      <c r="R435" s="31"/>
      <c r="S435" s="31"/>
      <c r="T435" s="31"/>
      <c r="U435" s="31"/>
      <c r="V435" s="31"/>
    </row>
    <row r="436" spans="1:22" s="32" customFormat="1" x14ac:dyDescent="0.35">
      <c r="A436" s="30"/>
      <c r="B436" s="26"/>
      <c r="C436" s="30"/>
      <c r="D436" s="30"/>
      <c r="E436" s="31"/>
      <c r="F436" s="31"/>
      <c r="G436" s="31"/>
      <c r="H436" s="31"/>
      <c r="I436" s="31"/>
      <c r="J436" s="31"/>
      <c r="K436" s="31"/>
      <c r="L436" s="31"/>
      <c r="M436" s="31"/>
      <c r="N436" s="31"/>
      <c r="O436" s="31"/>
      <c r="P436" s="31"/>
      <c r="Q436" s="31"/>
      <c r="R436" s="31"/>
      <c r="S436" s="31"/>
      <c r="T436" s="31"/>
      <c r="U436" s="31"/>
      <c r="V436" s="31"/>
    </row>
    <row r="437" spans="1:22" s="32" customFormat="1" x14ac:dyDescent="0.35">
      <c r="A437" s="33"/>
      <c r="B437" s="26"/>
      <c r="C437" s="33"/>
      <c r="D437" s="33"/>
      <c r="E437" s="34"/>
      <c r="F437" s="34"/>
      <c r="G437" s="34"/>
      <c r="H437" s="34"/>
      <c r="I437" s="34"/>
      <c r="J437" s="34"/>
      <c r="K437" s="34"/>
      <c r="L437" s="34"/>
      <c r="M437" s="34"/>
      <c r="N437" s="34"/>
      <c r="O437" s="34"/>
      <c r="P437" s="34"/>
      <c r="Q437" s="34"/>
      <c r="R437" s="34"/>
      <c r="S437" s="34"/>
      <c r="T437" s="34"/>
      <c r="U437" s="34"/>
      <c r="V437" s="34"/>
    </row>
    <row r="438" spans="1:22" s="32" customFormat="1" x14ac:dyDescent="0.35">
      <c r="A438" s="30"/>
      <c r="B438" s="26"/>
      <c r="C438" s="30"/>
      <c r="D438" s="30"/>
      <c r="E438" s="31"/>
      <c r="F438" s="31"/>
      <c r="G438" s="31"/>
      <c r="H438" s="31"/>
      <c r="I438" s="31"/>
      <c r="J438" s="31"/>
      <c r="K438" s="31"/>
      <c r="L438" s="31"/>
      <c r="M438" s="31"/>
      <c r="N438" s="31"/>
      <c r="O438" s="31"/>
      <c r="P438" s="31"/>
      <c r="Q438" s="31"/>
      <c r="R438" s="31"/>
      <c r="S438" s="31"/>
      <c r="T438" s="31"/>
      <c r="U438" s="31"/>
      <c r="V438" s="31"/>
    </row>
    <row r="439" spans="1:22" s="32" customFormat="1" x14ac:dyDescent="0.35">
      <c r="A439" s="30"/>
      <c r="B439" s="26"/>
      <c r="C439" s="30"/>
      <c r="D439" s="30"/>
      <c r="E439" s="31"/>
      <c r="F439" s="31"/>
      <c r="G439" s="31"/>
      <c r="H439" s="31"/>
      <c r="I439" s="31"/>
      <c r="J439" s="31"/>
      <c r="K439" s="31"/>
      <c r="L439" s="31"/>
      <c r="M439" s="31"/>
      <c r="N439" s="31"/>
      <c r="O439" s="31"/>
      <c r="P439" s="31"/>
      <c r="Q439" s="31"/>
      <c r="R439" s="31"/>
      <c r="S439" s="31"/>
      <c r="T439" s="31"/>
      <c r="U439" s="31"/>
      <c r="V439" s="31"/>
    </row>
    <row r="440" spans="1:22" s="32" customFormat="1" x14ac:dyDescent="0.35">
      <c r="A440" s="30"/>
      <c r="B440" s="26"/>
      <c r="C440" s="30"/>
      <c r="D440" s="30"/>
      <c r="E440" s="31"/>
      <c r="F440" s="31"/>
      <c r="G440" s="31"/>
      <c r="H440" s="31"/>
      <c r="I440" s="31"/>
      <c r="J440" s="31"/>
      <c r="K440" s="31"/>
      <c r="L440" s="31"/>
      <c r="M440" s="31"/>
      <c r="N440" s="31"/>
      <c r="O440" s="31"/>
      <c r="P440" s="31"/>
      <c r="Q440" s="31"/>
      <c r="R440" s="31"/>
      <c r="S440" s="31"/>
      <c r="T440" s="31"/>
      <c r="U440" s="31"/>
      <c r="V440" s="31"/>
    </row>
    <row r="441" spans="1:22" s="32" customFormat="1" x14ac:dyDescent="0.35">
      <c r="A441" s="30"/>
      <c r="B441" s="26"/>
      <c r="C441" s="30"/>
      <c r="D441" s="30"/>
      <c r="E441" s="31"/>
      <c r="F441" s="31"/>
      <c r="G441" s="31"/>
      <c r="H441" s="31"/>
      <c r="I441" s="31"/>
      <c r="J441" s="31"/>
      <c r="K441" s="31"/>
      <c r="L441" s="31"/>
      <c r="M441" s="31"/>
      <c r="N441" s="31"/>
      <c r="O441" s="31"/>
      <c r="P441" s="31"/>
      <c r="Q441" s="31"/>
      <c r="R441" s="31"/>
      <c r="S441" s="31"/>
      <c r="T441" s="31"/>
      <c r="U441" s="31"/>
      <c r="V441" s="31"/>
    </row>
    <row r="442" spans="1:22" s="32" customFormat="1" x14ac:dyDescent="0.35">
      <c r="A442" s="30"/>
      <c r="B442" s="26"/>
      <c r="C442" s="30"/>
      <c r="D442" s="30"/>
      <c r="E442" s="31"/>
      <c r="F442" s="31"/>
      <c r="G442" s="31"/>
      <c r="H442" s="31"/>
      <c r="I442" s="31"/>
      <c r="J442" s="31"/>
      <c r="K442" s="31"/>
      <c r="L442" s="31"/>
      <c r="M442" s="31"/>
      <c r="N442" s="31"/>
      <c r="O442" s="31"/>
      <c r="P442" s="31"/>
      <c r="Q442" s="31"/>
      <c r="R442" s="31"/>
      <c r="S442" s="31"/>
      <c r="T442" s="31"/>
      <c r="U442" s="31"/>
      <c r="V442" s="31"/>
    </row>
    <row r="443" spans="1:22" s="32" customFormat="1" x14ac:dyDescent="0.35">
      <c r="A443" s="30"/>
      <c r="B443" s="26"/>
      <c r="C443" s="30"/>
      <c r="D443" s="30"/>
      <c r="E443" s="31"/>
      <c r="F443" s="31"/>
      <c r="G443" s="31"/>
      <c r="H443" s="31"/>
      <c r="I443" s="31"/>
      <c r="J443" s="31"/>
      <c r="K443" s="31"/>
      <c r="L443" s="31"/>
      <c r="M443" s="31"/>
      <c r="N443" s="31"/>
      <c r="O443" s="31"/>
      <c r="P443" s="31"/>
      <c r="Q443" s="31"/>
      <c r="R443" s="31"/>
      <c r="S443" s="31"/>
      <c r="T443" s="31"/>
      <c r="U443" s="31"/>
      <c r="V443" s="31"/>
    </row>
    <row r="444" spans="1:22" s="32" customFormat="1" x14ac:dyDescent="0.35">
      <c r="A444" s="38"/>
      <c r="B444" s="26"/>
      <c r="C444" s="38"/>
      <c r="D444" s="38"/>
      <c r="E444" s="38"/>
      <c r="F444" s="38"/>
      <c r="G444" s="38"/>
      <c r="H444" s="38"/>
      <c r="I444" s="38"/>
      <c r="J444" s="38"/>
      <c r="K444" s="38"/>
      <c r="L444" s="38"/>
      <c r="M444" s="38"/>
      <c r="N444" s="38"/>
      <c r="O444" s="38"/>
      <c r="P444" s="38"/>
      <c r="Q444" s="38"/>
      <c r="R444" s="38"/>
      <c r="S444" s="38"/>
      <c r="T444" s="38"/>
      <c r="U444" s="38"/>
      <c r="V444" s="38"/>
    </row>
    <row r="445" spans="1:22" s="32" customFormat="1" x14ac:dyDescent="0.35">
      <c r="A445" s="30"/>
      <c r="B445" s="26"/>
      <c r="C445" s="30"/>
      <c r="D445" s="30"/>
      <c r="E445" s="31"/>
      <c r="F445" s="31"/>
      <c r="G445" s="31"/>
      <c r="H445" s="31"/>
      <c r="I445" s="31"/>
      <c r="J445" s="31"/>
      <c r="K445" s="31"/>
      <c r="L445" s="31"/>
      <c r="M445" s="31"/>
      <c r="N445" s="31"/>
      <c r="O445" s="31"/>
      <c r="P445" s="31"/>
      <c r="Q445" s="31"/>
      <c r="R445" s="31"/>
      <c r="S445" s="31"/>
      <c r="T445" s="31"/>
      <c r="U445" s="31"/>
      <c r="V445" s="31"/>
    </row>
    <row r="446" spans="1:22" s="32" customFormat="1" x14ac:dyDescent="0.35">
      <c r="A446" s="30"/>
      <c r="B446" s="26"/>
      <c r="C446" s="30"/>
      <c r="D446" s="30"/>
      <c r="E446" s="31"/>
      <c r="F446" s="31"/>
      <c r="G446" s="31"/>
      <c r="H446" s="31"/>
      <c r="I446" s="31"/>
      <c r="J446" s="31"/>
      <c r="K446" s="31"/>
      <c r="L446" s="31"/>
      <c r="M446" s="31"/>
      <c r="N446" s="31"/>
      <c r="O446" s="31"/>
      <c r="P446" s="31"/>
      <c r="Q446" s="31"/>
      <c r="R446" s="31"/>
      <c r="S446" s="31"/>
      <c r="T446" s="31"/>
      <c r="U446" s="31"/>
      <c r="V446" s="31"/>
    </row>
    <row r="447" spans="1:22" s="32" customFormat="1" x14ac:dyDescent="0.35">
      <c r="A447" s="30"/>
      <c r="B447" s="26"/>
      <c r="C447" s="30"/>
      <c r="D447" s="30"/>
      <c r="E447" s="31"/>
      <c r="F447" s="31"/>
      <c r="G447" s="31"/>
      <c r="H447" s="31"/>
      <c r="I447" s="31"/>
      <c r="J447" s="31"/>
      <c r="K447" s="31"/>
      <c r="L447" s="31"/>
      <c r="M447" s="31"/>
      <c r="N447" s="31"/>
      <c r="O447" s="31"/>
      <c r="P447" s="31"/>
      <c r="Q447" s="31"/>
      <c r="R447" s="31"/>
      <c r="S447" s="31"/>
      <c r="T447" s="31"/>
      <c r="U447" s="31"/>
      <c r="V447" s="31"/>
    </row>
    <row r="448" spans="1:22" s="32" customFormat="1" x14ac:dyDescent="0.35">
      <c r="A448" s="30"/>
      <c r="B448" s="26"/>
      <c r="C448" s="30"/>
      <c r="D448" s="30"/>
      <c r="E448" s="31"/>
      <c r="F448" s="31"/>
      <c r="G448" s="31"/>
      <c r="H448" s="31"/>
      <c r="I448" s="31"/>
      <c r="J448" s="31"/>
      <c r="K448" s="31"/>
      <c r="L448" s="31"/>
      <c r="M448" s="31"/>
      <c r="N448" s="31"/>
      <c r="O448" s="31"/>
      <c r="P448" s="31"/>
      <c r="Q448" s="31"/>
      <c r="R448" s="31"/>
      <c r="S448" s="31"/>
      <c r="T448" s="31"/>
      <c r="U448" s="31"/>
      <c r="V448" s="31"/>
    </row>
    <row r="449" spans="1:22" s="32" customFormat="1" x14ac:dyDescent="0.35">
      <c r="A449" s="30"/>
      <c r="B449" s="26"/>
      <c r="C449" s="30"/>
      <c r="D449" s="30"/>
      <c r="E449" s="31"/>
      <c r="F449" s="31"/>
      <c r="G449" s="31"/>
      <c r="H449" s="31"/>
      <c r="I449" s="31"/>
      <c r="J449" s="31"/>
      <c r="K449" s="31"/>
      <c r="L449" s="31"/>
      <c r="M449" s="31"/>
      <c r="N449" s="31"/>
      <c r="O449" s="31"/>
      <c r="P449" s="31"/>
      <c r="Q449" s="31"/>
      <c r="R449" s="31"/>
      <c r="S449" s="31"/>
      <c r="T449" s="31"/>
      <c r="U449" s="31"/>
      <c r="V449" s="31"/>
    </row>
    <row r="450" spans="1:22" s="32" customFormat="1" x14ac:dyDescent="0.35">
      <c r="A450" s="30"/>
      <c r="B450" s="26"/>
      <c r="C450" s="30"/>
      <c r="D450" s="30"/>
      <c r="E450" s="31"/>
      <c r="F450" s="31"/>
      <c r="G450" s="31"/>
      <c r="H450" s="31"/>
      <c r="I450" s="31"/>
      <c r="J450" s="31"/>
      <c r="K450" s="31"/>
      <c r="L450" s="31"/>
      <c r="M450" s="31"/>
      <c r="N450" s="31"/>
      <c r="O450" s="31"/>
      <c r="P450" s="31"/>
      <c r="Q450" s="31"/>
      <c r="R450" s="31"/>
      <c r="S450" s="31"/>
      <c r="T450" s="31"/>
      <c r="U450" s="31"/>
      <c r="V450" s="31"/>
    </row>
    <row r="451" spans="1:22" s="32" customFormat="1" x14ac:dyDescent="0.35">
      <c r="A451" s="30"/>
      <c r="B451" s="26"/>
      <c r="C451" s="30"/>
      <c r="D451" s="30"/>
      <c r="E451" s="31"/>
      <c r="F451" s="31"/>
      <c r="G451" s="31"/>
      <c r="H451" s="31"/>
      <c r="I451" s="31"/>
      <c r="J451" s="31"/>
      <c r="K451" s="31"/>
      <c r="L451" s="31"/>
      <c r="M451" s="31"/>
      <c r="N451" s="31"/>
      <c r="O451" s="31"/>
      <c r="P451" s="31"/>
      <c r="Q451" s="31"/>
      <c r="R451" s="31"/>
      <c r="S451" s="31"/>
      <c r="T451" s="31"/>
      <c r="U451" s="31"/>
      <c r="V451" s="31"/>
    </row>
    <row r="452" spans="1:22" x14ac:dyDescent="0.35">
      <c r="A452" s="13"/>
      <c r="B452" s="13"/>
      <c r="C452" s="13"/>
      <c r="D452" s="13"/>
      <c r="E452" s="10"/>
      <c r="F452" s="10"/>
      <c r="G452" s="10"/>
      <c r="H452" s="10"/>
      <c r="I452" s="10"/>
      <c r="J452" s="10"/>
      <c r="K452" s="10"/>
      <c r="L452" s="10"/>
      <c r="M452" s="31"/>
      <c r="N452" s="31"/>
      <c r="O452" s="31"/>
      <c r="P452" s="10"/>
      <c r="Q452" s="10"/>
      <c r="R452" s="10"/>
      <c r="S452" s="10"/>
      <c r="T452" s="10"/>
      <c r="U452" s="10"/>
      <c r="V452" s="10"/>
    </row>
    <row r="453" spans="1:22" x14ac:dyDescent="0.35">
      <c r="A453" s="13"/>
      <c r="B453" s="13"/>
      <c r="C453" s="13"/>
      <c r="D453" s="13"/>
      <c r="E453" s="10"/>
      <c r="F453" s="10"/>
      <c r="G453" s="10"/>
      <c r="H453" s="10"/>
      <c r="I453" s="10"/>
      <c r="J453" s="10"/>
      <c r="K453" s="10"/>
      <c r="L453" s="10"/>
      <c r="M453" s="31"/>
      <c r="N453" s="31"/>
      <c r="O453" s="31"/>
      <c r="P453" s="10"/>
      <c r="Q453" s="10"/>
      <c r="R453" s="10"/>
      <c r="S453" s="10"/>
      <c r="T453" s="10"/>
      <c r="U453" s="10"/>
      <c r="V453" s="10"/>
    </row>
    <row r="454" spans="1:22" x14ac:dyDescent="0.35">
      <c r="A454" s="13"/>
      <c r="B454" s="13"/>
      <c r="C454" s="13"/>
      <c r="D454" s="13"/>
      <c r="E454" s="10"/>
      <c r="F454" s="10"/>
      <c r="G454" s="10"/>
      <c r="H454" s="10"/>
      <c r="I454" s="10"/>
      <c r="J454" s="10"/>
      <c r="K454" s="10"/>
      <c r="L454" s="10"/>
      <c r="M454" s="31"/>
      <c r="N454" s="31"/>
      <c r="O454" s="31"/>
      <c r="P454" s="10"/>
      <c r="Q454" s="10"/>
      <c r="R454" s="10"/>
      <c r="S454" s="10"/>
      <c r="T454" s="10"/>
      <c r="U454" s="10"/>
      <c r="V454" s="10"/>
    </row>
    <row r="455" spans="1:22" x14ac:dyDescent="0.35">
      <c r="A455" s="13"/>
      <c r="B455" s="13"/>
      <c r="C455" s="13"/>
      <c r="D455" s="13"/>
      <c r="E455" s="10"/>
      <c r="F455" s="10"/>
      <c r="G455" s="10"/>
      <c r="H455" s="10"/>
      <c r="I455" s="10"/>
      <c r="J455" s="10"/>
      <c r="K455" s="10"/>
      <c r="L455" s="10"/>
      <c r="M455" s="31"/>
      <c r="N455" s="31"/>
      <c r="O455" s="31"/>
      <c r="P455" s="10"/>
      <c r="Q455" s="10"/>
      <c r="R455" s="10"/>
      <c r="S455" s="10"/>
      <c r="T455" s="10"/>
      <c r="U455" s="10"/>
      <c r="V455" s="10"/>
    </row>
    <row r="456" spans="1:22" x14ac:dyDescent="0.35">
      <c r="A456" s="13"/>
      <c r="B456" s="13"/>
      <c r="C456" s="13"/>
      <c r="D456" s="13"/>
      <c r="E456" s="10"/>
      <c r="F456" s="10"/>
      <c r="G456" s="10"/>
      <c r="H456" s="10"/>
      <c r="I456" s="10"/>
      <c r="J456" s="10"/>
      <c r="K456" s="10"/>
      <c r="L456" s="10"/>
      <c r="M456" s="31"/>
      <c r="N456" s="31"/>
      <c r="O456" s="31"/>
      <c r="P456" s="10"/>
      <c r="Q456" s="10"/>
      <c r="R456" s="10"/>
      <c r="S456" s="10"/>
      <c r="T456" s="10"/>
      <c r="U456" s="10"/>
      <c r="V456" s="10"/>
    </row>
    <row r="457" spans="1:22" x14ac:dyDescent="0.35">
      <c r="A457" s="13"/>
      <c r="B457" s="13"/>
      <c r="C457" s="13"/>
      <c r="D457" s="13"/>
      <c r="E457" s="10"/>
      <c r="F457" s="10"/>
      <c r="G457" s="10"/>
      <c r="H457" s="10"/>
      <c r="I457" s="10"/>
      <c r="J457" s="10"/>
      <c r="K457" s="10"/>
      <c r="L457" s="10"/>
      <c r="M457" s="31"/>
      <c r="N457" s="31"/>
      <c r="O457" s="31"/>
      <c r="P457" s="10"/>
      <c r="Q457" s="10"/>
      <c r="R457" s="10"/>
      <c r="S457" s="10"/>
      <c r="T457" s="10"/>
      <c r="U457" s="10"/>
      <c r="V457" s="10"/>
    </row>
    <row r="458" spans="1:22" x14ac:dyDescent="0.35">
      <c r="A458" s="13"/>
      <c r="B458" s="13"/>
      <c r="C458" s="13"/>
      <c r="D458" s="13"/>
      <c r="E458" s="10"/>
      <c r="F458" s="10"/>
      <c r="G458" s="10"/>
      <c r="H458" s="10"/>
      <c r="I458" s="10"/>
      <c r="J458" s="10"/>
      <c r="K458" s="10"/>
      <c r="L458" s="10"/>
      <c r="M458" s="31"/>
      <c r="N458" s="31"/>
      <c r="O458" s="31"/>
      <c r="P458" s="10"/>
      <c r="Q458" s="10"/>
      <c r="R458" s="10"/>
      <c r="S458" s="10"/>
      <c r="T458" s="10"/>
      <c r="U458" s="10"/>
      <c r="V458" s="10"/>
    </row>
    <row r="459" spans="1:22" x14ac:dyDescent="0.35">
      <c r="A459" s="13"/>
      <c r="B459" s="13"/>
      <c r="C459" s="13"/>
      <c r="D459" s="13"/>
      <c r="E459" s="10"/>
      <c r="F459" s="10"/>
      <c r="G459" s="10"/>
      <c r="H459" s="10"/>
      <c r="I459" s="10"/>
      <c r="J459" s="10"/>
      <c r="K459" s="10"/>
      <c r="L459" s="10"/>
      <c r="M459" s="31"/>
      <c r="N459" s="31"/>
      <c r="O459" s="31"/>
      <c r="P459" s="10"/>
      <c r="Q459" s="10"/>
      <c r="R459" s="10"/>
      <c r="S459" s="10"/>
      <c r="T459" s="10"/>
      <c r="U459" s="10"/>
      <c r="V459" s="10"/>
    </row>
    <row r="460" spans="1:22" x14ac:dyDescent="0.35">
      <c r="A460" s="13"/>
      <c r="B460" s="13"/>
      <c r="C460" s="13"/>
      <c r="D460" s="13"/>
      <c r="E460" s="10"/>
      <c r="F460" s="10"/>
      <c r="G460" s="10"/>
      <c r="H460" s="10"/>
      <c r="I460" s="10"/>
      <c r="J460" s="10"/>
      <c r="K460" s="10"/>
      <c r="L460" s="10"/>
      <c r="M460" s="31"/>
      <c r="N460" s="31"/>
      <c r="O460" s="31"/>
      <c r="P460" s="10"/>
      <c r="Q460" s="10"/>
      <c r="R460" s="10"/>
      <c r="S460" s="10"/>
      <c r="T460" s="10"/>
      <c r="U460" s="10"/>
      <c r="V460" s="10"/>
    </row>
    <row r="461" spans="1:22" x14ac:dyDescent="0.35">
      <c r="A461" s="13"/>
      <c r="B461" s="13"/>
      <c r="C461" s="13"/>
      <c r="D461" s="13"/>
      <c r="E461" s="10"/>
      <c r="F461" s="10"/>
      <c r="G461" s="10"/>
      <c r="H461" s="10"/>
      <c r="I461" s="10"/>
      <c r="J461" s="10"/>
      <c r="K461" s="10"/>
      <c r="L461" s="10"/>
      <c r="M461" s="31"/>
      <c r="N461" s="31"/>
      <c r="O461" s="31"/>
      <c r="P461" s="10"/>
      <c r="Q461" s="10"/>
      <c r="R461" s="10"/>
      <c r="S461" s="10"/>
      <c r="T461" s="10"/>
      <c r="U461" s="10"/>
      <c r="V461" s="10"/>
    </row>
    <row r="462" spans="1:22" x14ac:dyDescent="0.35">
      <c r="A462" s="13"/>
      <c r="B462" s="13"/>
      <c r="C462" s="13"/>
      <c r="D462" s="13"/>
      <c r="E462" s="17"/>
      <c r="F462" s="17"/>
      <c r="G462" s="17"/>
      <c r="H462" s="17"/>
      <c r="I462" s="17"/>
      <c r="J462" s="17"/>
      <c r="K462" s="17"/>
      <c r="L462" s="17"/>
      <c r="M462" s="34"/>
      <c r="N462" s="34"/>
      <c r="O462" s="34"/>
      <c r="P462" s="17"/>
      <c r="Q462" s="17"/>
      <c r="R462" s="17"/>
      <c r="S462" s="17"/>
      <c r="T462" s="17"/>
      <c r="U462" s="17"/>
      <c r="V462" s="17"/>
    </row>
    <row r="463" spans="1:22" x14ac:dyDescent="0.35">
      <c r="A463" s="13"/>
      <c r="B463" s="13"/>
      <c r="C463" s="13"/>
      <c r="D463" s="13"/>
      <c r="E463" s="15"/>
      <c r="F463" s="15"/>
      <c r="G463" s="15"/>
      <c r="H463" s="15"/>
      <c r="I463" s="15"/>
      <c r="J463" s="15"/>
      <c r="K463" s="15"/>
      <c r="L463" s="15"/>
      <c r="M463" s="34"/>
      <c r="N463" s="34"/>
      <c r="O463" s="34"/>
      <c r="P463" s="15"/>
      <c r="Q463" s="15"/>
      <c r="R463" s="15"/>
      <c r="S463" s="15"/>
      <c r="T463" s="15"/>
      <c r="U463" s="15"/>
      <c r="V463" s="15"/>
    </row>
    <row r="464" spans="1:22" x14ac:dyDescent="0.35">
      <c r="A464" s="13"/>
      <c r="B464" s="13"/>
      <c r="C464" s="13"/>
      <c r="D464" s="13"/>
      <c r="E464" s="17"/>
      <c r="F464" s="17"/>
      <c r="G464" s="17"/>
      <c r="H464" s="17"/>
      <c r="I464" s="17"/>
      <c r="J464" s="17"/>
      <c r="K464" s="17"/>
      <c r="L464" s="17"/>
      <c r="M464" s="34"/>
      <c r="N464" s="34"/>
      <c r="O464" s="34"/>
      <c r="P464" s="17"/>
      <c r="Q464" s="17"/>
      <c r="R464" s="17"/>
      <c r="S464" s="17"/>
      <c r="T464" s="17"/>
      <c r="U464" s="17"/>
      <c r="V464" s="17"/>
    </row>
    <row r="465" spans="1:22" x14ac:dyDescent="0.35">
      <c r="A465" s="13"/>
      <c r="B465" s="13"/>
      <c r="C465" s="13"/>
      <c r="D465" s="13"/>
      <c r="E465" s="10"/>
      <c r="F465" s="10"/>
      <c r="G465" s="10"/>
      <c r="H465" s="10"/>
      <c r="I465" s="10"/>
      <c r="J465" s="10"/>
      <c r="K465" s="10"/>
      <c r="L465" s="10"/>
      <c r="M465" s="31"/>
      <c r="N465" s="31"/>
      <c r="O465" s="31"/>
      <c r="P465" s="10"/>
      <c r="Q465" s="10"/>
      <c r="R465" s="10"/>
      <c r="S465" s="10"/>
      <c r="T465" s="10"/>
      <c r="U465" s="10"/>
      <c r="V465" s="10"/>
    </row>
    <row r="466" spans="1:22" x14ac:dyDescent="0.35">
      <c r="A466" s="13"/>
      <c r="B466" s="13"/>
      <c r="C466" s="13"/>
      <c r="D466" s="13"/>
      <c r="E466" s="10"/>
      <c r="F466" s="10"/>
      <c r="G466" s="10"/>
      <c r="H466" s="10"/>
      <c r="I466" s="10"/>
      <c r="J466" s="10"/>
      <c r="K466" s="10"/>
      <c r="L466" s="10"/>
      <c r="M466" s="31"/>
      <c r="N466" s="31"/>
      <c r="O466" s="31"/>
      <c r="P466" s="10"/>
      <c r="Q466" s="10"/>
      <c r="R466" s="10"/>
      <c r="S466" s="10"/>
      <c r="T466" s="10"/>
      <c r="U466" s="10"/>
      <c r="V466" s="10"/>
    </row>
    <row r="467" spans="1:22" x14ac:dyDescent="0.35">
      <c r="A467" s="13"/>
      <c r="B467" s="13"/>
      <c r="C467" s="13"/>
      <c r="D467" s="13"/>
      <c r="E467" s="10"/>
      <c r="F467" s="10"/>
      <c r="G467" s="10"/>
      <c r="H467" s="10"/>
      <c r="I467" s="10"/>
      <c r="J467" s="10"/>
      <c r="K467" s="10"/>
      <c r="L467" s="10"/>
      <c r="M467" s="31"/>
      <c r="N467" s="31"/>
      <c r="O467" s="31"/>
      <c r="P467" s="10"/>
      <c r="Q467" s="10"/>
      <c r="R467" s="10"/>
      <c r="S467" s="10"/>
      <c r="T467" s="10"/>
      <c r="U467" s="10"/>
      <c r="V467" s="10"/>
    </row>
    <row r="468" spans="1:22" x14ac:dyDescent="0.35">
      <c r="A468" s="13"/>
      <c r="B468" s="13"/>
      <c r="C468" s="13"/>
      <c r="D468" s="13"/>
      <c r="E468" s="10"/>
      <c r="F468" s="10"/>
      <c r="G468" s="10"/>
      <c r="H468" s="10"/>
      <c r="I468" s="10"/>
      <c r="J468" s="10"/>
      <c r="K468" s="10"/>
      <c r="L468" s="10"/>
      <c r="M468" s="31"/>
      <c r="N468" s="31"/>
      <c r="O468" s="31"/>
      <c r="P468" s="10"/>
      <c r="Q468" s="10"/>
      <c r="R468" s="10"/>
      <c r="S468" s="10"/>
      <c r="T468" s="10"/>
      <c r="U468" s="10"/>
      <c r="V468" s="10"/>
    </row>
    <row r="469" spans="1:22" x14ac:dyDescent="0.35">
      <c r="A469" s="13"/>
      <c r="B469" s="13"/>
      <c r="C469" s="13"/>
      <c r="D469" s="13"/>
      <c r="E469" s="17"/>
      <c r="F469" s="17"/>
      <c r="G469" s="17"/>
      <c r="H469" s="17"/>
      <c r="I469" s="17"/>
      <c r="J469" s="17"/>
      <c r="K469" s="17"/>
      <c r="L469" s="17"/>
      <c r="M469" s="34"/>
      <c r="N469" s="34"/>
      <c r="O469" s="34"/>
      <c r="P469" s="17"/>
      <c r="Q469" s="17"/>
      <c r="R469" s="17"/>
      <c r="S469" s="17"/>
      <c r="T469" s="17"/>
      <c r="U469" s="17"/>
      <c r="V469" s="17"/>
    </row>
    <row r="470" spans="1:22" x14ac:dyDescent="0.35">
      <c r="A470" s="13"/>
      <c r="B470" s="13"/>
      <c r="C470" s="13"/>
      <c r="D470" s="13"/>
      <c r="E470" s="10"/>
      <c r="F470" s="10"/>
      <c r="G470" s="10"/>
      <c r="H470" s="10"/>
      <c r="I470" s="10"/>
      <c r="J470" s="10"/>
      <c r="K470" s="10"/>
      <c r="L470" s="10"/>
      <c r="M470" s="31"/>
      <c r="N470" s="31"/>
      <c r="O470" s="31"/>
      <c r="P470" s="10"/>
      <c r="Q470" s="10"/>
      <c r="R470" s="10"/>
      <c r="S470" s="10"/>
      <c r="T470" s="10"/>
      <c r="U470" s="10"/>
      <c r="V470" s="10"/>
    </row>
    <row r="471" spans="1:22" x14ac:dyDescent="0.35">
      <c r="A471" s="13"/>
      <c r="B471" s="13"/>
      <c r="C471" s="13"/>
      <c r="D471" s="13"/>
      <c r="E471" s="10"/>
      <c r="F471" s="10"/>
      <c r="G471" s="10"/>
      <c r="H471" s="10"/>
      <c r="I471" s="10"/>
      <c r="J471" s="10"/>
      <c r="K471" s="10"/>
      <c r="L471" s="10"/>
      <c r="M471" s="31"/>
      <c r="N471" s="31"/>
      <c r="O471" s="31"/>
      <c r="P471" s="10"/>
      <c r="Q471" s="10"/>
      <c r="R471" s="10"/>
      <c r="S471" s="10"/>
      <c r="T471" s="10"/>
      <c r="U471" s="10"/>
      <c r="V471" s="10"/>
    </row>
    <row r="472" spans="1:22" x14ac:dyDescent="0.35">
      <c r="A472" s="13"/>
      <c r="B472" s="13"/>
      <c r="C472" s="13"/>
      <c r="D472" s="13"/>
      <c r="E472" s="10"/>
      <c r="F472" s="10"/>
      <c r="G472" s="10"/>
      <c r="H472" s="10"/>
      <c r="I472" s="10"/>
      <c r="J472" s="10"/>
      <c r="K472" s="10"/>
      <c r="L472" s="10"/>
      <c r="M472" s="31"/>
      <c r="N472" s="31"/>
      <c r="O472" s="31"/>
      <c r="P472" s="10"/>
      <c r="Q472" s="10"/>
      <c r="R472" s="10"/>
      <c r="S472" s="10"/>
      <c r="T472" s="10"/>
      <c r="U472" s="10"/>
      <c r="V472" s="10"/>
    </row>
    <row r="473" spans="1:22" x14ac:dyDescent="0.35">
      <c r="A473" s="13"/>
      <c r="B473" s="13"/>
      <c r="C473" s="13"/>
      <c r="D473" s="13"/>
      <c r="E473" s="17"/>
      <c r="F473" s="17"/>
      <c r="G473" s="17"/>
      <c r="H473" s="17"/>
      <c r="I473" s="17"/>
      <c r="J473" s="17"/>
      <c r="K473" s="17"/>
      <c r="L473" s="17"/>
      <c r="M473" s="34"/>
      <c r="N473" s="34"/>
      <c r="O473" s="34"/>
      <c r="P473" s="17"/>
      <c r="Q473" s="17"/>
      <c r="R473" s="17"/>
      <c r="S473" s="17"/>
      <c r="T473" s="17"/>
      <c r="U473" s="17"/>
      <c r="V473" s="17"/>
    </row>
    <row r="474" spans="1:22" x14ac:dyDescent="0.35">
      <c r="A474" s="13"/>
      <c r="B474" s="13"/>
      <c r="C474" s="13"/>
      <c r="D474" s="13"/>
      <c r="E474" s="10"/>
      <c r="F474" s="10"/>
      <c r="G474" s="10"/>
      <c r="H474" s="10"/>
      <c r="I474" s="10"/>
      <c r="J474" s="10"/>
      <c r="K474" s="10"/>
      <c r="L474" s="10"/>
      <c r="M474" s="31"/>
      <c r="N474" s="31"/>
      <c r="O474" s="31"/>
      <c r="P474" s="10"/>
      <c r="Q474" s="10"/>
      <c r="R474" s="10"/>
      <c r="S474" s="10"/>
      <c r="T474" s="10"/>
      <c r="U474" s="10"/>
      <c r="V474" s="10"/>
    </row>
    <row r="475" spans="1:22" x14ac:dyDescent="0.35">
      <c r="A475" s="13"/>
      <c r="B475" s="13"/>
      <c r="C475" s="13"/>
      <c r="D475" s="13"/>
      <c r="E475" s="10"/>
      <c r="F475" s="10"/>
      <c r="G475" s="10"/>
      <c r="H475" s="10"/>
      <c r="I475" s="10"/>
      <c r="J475" s="10"/>
      <c r="K475" s="10"/>
      <c r="L475" s="10"/>
      <c r="M475" s="31"/>
      <c r="N475" s="31"/>
      <c r="O475" s="31"/>
      <c r="P475" s="10"/>
      <c r="Q475" s="10"/>
      <c r="R475" s="10"/>
      <c r="S475" s="10"/>
      <c r="T475" s="10"/>
      <c r="U475" s="10"/>
      <c r="V475" s="10"/>
    </row>
    <row r="476" spans="1:22" x14ac:dyDescent="0.35">
      <c r="A476" s="13"/>
      <c r="B476" s="13"/>
      <c r="C476" s="13"/>
      <c r="D476" s="13"/>
      <c r="E476" s="10"/>
      <c r="F476" s="10"/>
      <c r="G476" s="10"/>
      <c r="H476" s="10"/>
      <c r="I476" s="10"/>
      <c r="J476" s="10"/>
      <c r="K476" s="10"/>
      <c r="L476" s="10"/>
      <c r="M476" s="31"/>
      <c r="N476" s="31"/>
      <c r="O476" s="31"/>
      <c r="P476" s="10"/>
      <c r="Q476" s="10"/>
      <c r="R476" s="10"/>
      <c r="S476" s="10"/>
      <c r="T476" s="10"/>
      <c r="U476" s="10"/>
      <c r="V476" s="10"/>
    </row>
    <row r="477" spans="1:22" x14ac:dyDescent="0.35">
      <c r="A477" s="13"/>
      <c r="B477" s="13"/>
      <c r="C477" s="13"/>
      <c r="D477" s="13"/>
      <c r="E477" s="17"/>
      <c r="F477" s="17"/>
      <c r="G477" s="17"/>
      <c r="H477" s="17"/>
      <c r="I477" s="17"/>
      <c r="J477" s="17"/>
      <c r="K477" s="17"/>
      <c r="L477" s="17"/>
      <c r="M477" s="34"/>
      <c r="N477" s="34"/>
      <c r="O477" s="34"/>
      <c r="P477" s="17"/>
      <c r="Q477" s="17"/>
      <c r="R477" s="17"/>
      <c r="S477" s="17"/>
      <c r="T477" s="17"/>
      <c r="U477" s="17"/>
      <c r="V477" s="17"/>
    </row>
    <row r="478" spans="1:22" x14ac:dyDescent="0.35">
      <c r="A478" s="13"/>
      <c r="B478" s="13"/>
      <c r="C478" s="13"/>
      <c r="D478" s="13"/>
      <c r="E478" s="15"/>
      <c r="F478" s="15"/>
      <c r="G478" s="15"/>
      <c r="H478" s="15"/>
      <c r="I478" s="15"/>
      <c r="J478" s="15"/>
      <c r="K478" s="15"/>
      <c r="L478" s="15"/>
      <c r="M478" s="34"/>
      <c r="N478" s="34"/>
      <c r="O478" s="34"/>
      <c r="P478" s="15"/>
      <c r="Q478" s="15"/>
      <c r="R478" s="15"/>
      <c r="S478" s="15"/>
      <c r="T478" s="15"/>
      <c r="U478" s="15"/>
      <c r="V478" s="15"/>
    </row>
    <row r="479" spans="1:22" x14ac:dyDescent="0.35">
      <c r="A479" s="13"/>
      <c r="B479" s="13"/>
      <c r="C479" s="13"/>
      <c r="D479" s="13"/>
      <c r="E479" s="17"/>
      <c r="F479" s="17"/>
      <c r="G479" s="17"/>
      <c r="H479" s="17"/>
      <c r="I479" s="17"/>
      <c r="J479" s="17"/>
      <c r="K479" s="17"/>
      <c r="L479" s="17"/>
      <c r="M479" s="34"/>
      <c r="N479" s="34"/>
      <c r="O479" s="34"/>
      <c r="P479" s="17"/>
      <c r="Q479" s="17"/>
      <c r="R479" s="17"/>
      <c r="S479" s="17"/>
      <c r="T479" s="17"/>
      <c r="U479" s="17"/>
      <c r="V479" s="17"/>
    </row>
    <row r="480" spans="1:22" x14ac:dyDescent="0.35">
      <c r="A480" s="13"/>
      <c r="B480" s="13"/>
      <c r="C480" s="13"/>
      <c r="D480" s="13"/>
      <c r="E480" s="10"/>
      <c r="F480" s="10"/>
      <c r="G480" s="10"/>
      <c r="H480" s="10"/>
      <c r="I480" s="10"/>
      <c r="J480" s="10"/>
      <c r="K480" s="10"/>
      <c r="L480" s="10"/>
      <c r="M480" s="31"/>
      <c r="N480" s="31"/>
      <c r="O480" s="31"/>
      <c r="P480" s="10"/>
      <c r="Q480" s="10"/>
      <c r="R480" s="10"/>
      <c r="S480" s="10"/>
      <c r="T480" s="10"/>
      <c r="U480" s="10"/>
      <c r="V480" s="10"/>
    </row>
    <row r="481" spans="1:22" x14ac:dyDescent="0.35">
      <c r="A481" s="13"/>
      <c r="B481" s="13"/>
      <c r="C481" s="13"/>
      <c r="D481" s="13"/>
      <c r="E481" s="17"/>
      <c r="F481" s="17"/>
      <c r="G481" s="17"/>
      <c r="H481" s="17"/>
      <c r="I481" s="17"/>
      <c r="J481" s="17"/>
      <c r="K481" s="17"/>
      <c r="L481" s="17"/>
      <c r="M481" s="34"/>
      <c r="N481" s="34"/>
      <c r="O481" s="34"/>
      <c r="P481" s="17"/>
      <c r="Q481" s="17"/>
      <c r="R481" s="17"/>
      <c r="S481" s="17"/>
      <c r="T481" s="17"/>
      <c r="U481" s="17"/>
      <c r="V481" s="17"/>
    </row>
    <row r="482" spans="1:22" x14ac:dyDescent="0.35">
      <c r="A482" s="13"/>
      <c r="B482" s="13"/>
      <c r="C482" s="13"/>
      <c r="D482" s="13"/>
      <c r="E482" s="10"/>
      <c r="F482" s="10"/>
      <c r="G482" s="10"/>
      <c r="H482" s="10"/>
      <c r="I482" s="10"/>
      <c r="J482" s="10"/>
      <c r="K482" s="10"/>
      <c r="L482" s="10"/>
      <c r="M482" s="31"/>
      <c r="N482" s="31"/>
      <c r="O482" s="31"/>
      <c r="P482" s="10"/>
      <c r="Q482" s="10"/>
      <c r="R482" s="10"/>
      <c r="S482" s="10"/>
      <c r="T482" s="10"/>
      <c r="U482" s="10"/>
      <c r="V482" s="10"/>
    </row>
    <row r="483" spans="1:22" x14ac:dyDescent="0.35">
      <c r="A483" s="13"/>
      <c r="B483" s="13"/>
      <c r="C483" s="13"/>
      <c r="D483" s="13"/>
      <c r="E483" s="10"/>
      <c r="F483" s="10"/>
      <c r="G483" s="10"/>
      <c r="H483" s="10"/>
      <c r="I483" s="10"/>
      <c r="J483" s="10"/>
      <c r="K483" s="10"/>
      <c r="L483" s="10"/>
      <c r="M483" s="31"/>
      <c r="N483" s="31"/>
      <c r="O483" s="31"/>
      <c r="P483" s="10"/>
      <c r="Q483" s="10"/>
      <c r="R483" s="10"/>
      <c r="S483" s="10"/>
      <c r="T483" s="10"/>
      <c r="U483" s="10"/>
      <c r="V483" s="10"/>
    </row>
    <row r="484" spans="1:22" x14ac:dyDescent="0.35">
      <c r="A484" s="13"/>
      <c r="B484" s="13"/>
      <c r="C484" s="13"/>
      <c r="D484" s="13"/>
      <c r="E484" s="17"/>
      <c r="F484" s="17"/>
      <c r="G484" s="17"/>
      <c r="H484" s="17"/>
      <c r="I484" s="17"/>
      <c r="J484" s="17"/>
      <c r="K484" s="17"/>
      <c r="L484" s="17"/>
      <c r="M484" s="34"/>
      <c r="N484" s="34"/>
      <c r="O484" s="34"/>
      <c r="P484" s="17"/>
      <c r="Q484" s="17"/>
      <c r="R484" s="17"/>
      <c r="S484" s="17"/>
      <c r="T484" s="17"/>
      <c r="U484" s="17"/>
      <c r="V484" s="17"/>
    </row>
    <row r="485" spans="1:22" x14ac:dyDescent="0.35">
      <c r="A485" s="13"/>
      <c r="B485" s="13"/>
      <c r="C485" s="13"/>
      <c r="D485" s="13"/>
      <c r="E485" s="15"/>
      <c r="F485" s="15"/>
      <c r="G485" s="15"/>
      <c r="H485" s="15"/>
      <c r="I485" s="15"/>
      <c r="J485" s="15"/>
      <c r="K485" s="15"/>
      <c r="L485" s="15"/>
      <c r="M485" s="34"/>
      <c r="N485" s="34"/>
      <c r="O485" s="34"/>
      <c r="P485" s="15"/>
      <c r="Q485" s="15"/>
      <c r="R485" s="15"/>
      <c r="S485" s="15"/>
      <c r="T485" s="15"/>
      <c r="U485" s="15"/>
      <c r="V485" s="15"/>
    </row>
    <row r="486" spans="1:22" x14ac:dyDescent="0.35">
      <c r="A486" s="13"/>
      <c r="B486" s="13"/>
      <c r="C486" s="13"/>
      <c r="D486" s="13"/>
      <c r="E486" s="10"/>
      <c r="F486" s="10"/>
      <c r="G486" s="10"/>
      <c r="H486" s="10"/>
      <c r="I486" s="10"/>
      <c r="J486" s="10"/>
      <c r="K486" s="10"/>
      <c r="L486" s="10"/>
      <c r="M486" s="31"/>
      <c r="N486" s="31"/>
      <c r="O486" s="31"/>
      <c r="P486" s="10"/>
      <c r="Q486" s="10"/>
      <c r="R486" s="10"/>
      <c r="S486" s="10"/>
      <c r="T486" s="10"/>
      <c r="U486" s="10"/>
      <c r="V486" s="10"/>
    </row>
    <row r="487" spans="1:22" x14ac:dyDescent="0.35">
      <c r="A487" s="13"/>
      <c r="B487" s="13"/>
      <c r="C487" s="13"/>
      <c r="D487" s="13"/>
      <c r="E487" s="10"/>
      <c r="F487" s="10"/>
      <c r="G487" s="10"/>
      <c r="H487" s="10"/>
      <c r="I487" s="10"/>
      <c r="J487" s="10"/>
      <c r="K487" s="10"/>
      <c r="L487" s="10"/>
      <c r="M487" s="31"/>
      <c r="N487" s="31"/>
      <c r="O487" s="31"/>
      <c r="P487" s="10"/>
      <c r="Q487" s="10"/>
      <c r="R487" s="10"/>
      <c r="S487" s="10"/>
      <c r="T487" s="10"/>
      <c r="U487" s="10"/>
      <c r="V487" s="10"/>
    </row>
    <row r="488" spans="1:22" x14ac:dyDescent="0.35">
      <c r="A488" s="13"/>
      <c r="B488" s="13"/>
      <c r="C488" s="13"/>
      <c r="D488" s="13"/>
      <c r="E488" s="10"/>
      <c r="F488" s="10"/>
      <c r="G488" s="10"/>
      <c r="H488" s="10"/>
      <c r="I488" s="10"/>
      <c r="J488" s="10"/>
      <c r="K488" s="10"/>
      <c r="L488" s="10"/>
      <c r="M488" s="31"/>
      <c r="N488" s="31"/>
      <c r="O488" s="31"/>
      <c r="P488" s="10"/>
      <c r="Q488" s="10"/>
      <c r="R488" s="10"/>
      <c r="S488" s="10"/>
      <c r="T488" s="10"/>
      <c r="U488" s="10"/>
      <c r="V488" s="10"/>
    </row>
    <row r="489" spans="1:22" x14ac:dyDescent="0.35">
      <c r="A489" s="13"/>
      <c r="B489" s="13"/>
      <c r="C489" s="13"/>
      <c r="D489" s="13"/>
      <c r="E489" s="10"/>
      <c r="F489" s="10"/>
      <c r="G489" s="10"/>
      <c r="H489" s="10"/>
      <c r="I489" s="10"/>
      <c r="J489" s="10"/>
      <c r="K489" s="10"/>
      <c r="L489" s="10"/>
      <c r="M489" s="31"/>
      <c r="N489" s="31"/>
      <c r="O489" s="31"/>
      <c r="P489" s="10"/>
      <c r="Q489" s="10"/>
      <c r="R489" s="10"/>
      <c r="S489" s="10"/>
      <c r="T489" s="10"/>
      <c r="U489" s="10"/>
      <c r="V489" s="10"/>
    </row>
    <row r="490" spans="1:22" x14ac:dyDescent="0.35">
      <c r="A490" s="13"/>
      <c r="B490" s="13"/>
      <c r="C490" s="13"/>
      <c r="D490" s="13"/>
      <c r="E490" s="10"/>
      <c r="F490" s="10"/>
      <c r="G490" s="10"/>
      <c r="H490" s="10"/>
      <c r="I490" s="10"/>
      <c r="J490" s="10"/>
      <c r="K490" s="10"/>
      <c r="L490" s="10"/>
      <c r="M490" s="31"/>
      <c r="N490" s="31"/>
      <c r="O490" s="31"/>
      <c r="P490" s="10"/>
      <c r="Q490" s="10"/>
      <c r="R490" s="10"/>
      <c r="S490" s="10"/>
      <c r="T490" s="10"/>
      <c r="U490" s="10"/>
      <c r="V490" s="10"/>
    </row>
    <row r="491" spans="1:22" x14ac:dyDescent="0.35">
      <c r="A491" s="13"/>
      <c r="B491" s="13"/>
      <c r="C491" s="13"/>
      <c r="D491" s="13"/>
      <c r="E491" s="10"/>
      <c r="F491" s="10"/>
      <c r="G491" s="10"/>
      <c r="H491" s="10"/>
      <c r="I491" s="10"/>
      <c r="J491" s="10"/>
      <c r="K491" s="10"/>
      <c r="L491" s="10"/>
      <c r="M491" s="31"/>
      <c r="N491" s="31"/>
      <c r="O491" s="31"/>
      <c r="P491" s="10"/>
      <c r="Q491" s="10"/>
      <c r="R491" s="10"/>
      <c r="S491" s="10"/>
      <c r="T491" s="10"/>
      <c r="U491" s="10"/>
      <c r="V491" s="10"/>
    </row>
    <row r="492" spans="1:22" x14ac:dyDescent="0.35">
      <c r="A492" s="13"/>
      <c r="B492" s="13"/>
      <c r="C492" s="13"/>
      <c r="D492" s="13"/>
      <c r="E492" s="10"/>
      <c r="F492" s="10"/>
      <c r="G492" s="10"/>
      <c r="H492" s="10"/>
      <c r="I492" s="10"/>
      <c r="J492" s="10"/>
      <c r="K492" s="10"/>
      <c r="L492" s="10"/>
      <c r="M492" s="31"/>
      <c r="N492" s="31"/>
      <c r="O492" s="31"/>
      <c r="P492" s="10"/>
      <c r="Q492" s="10"/>
      <c r="R492" s="10"/>
      <c r="S492" s="10"/>
      <c r="T492" s="10"/>
      <c r="U492" s="10"/>
      <c r="V492" s="10"/>
    </row>
    <row r="493" spans="1:22" x14ac:dyDescent="0.35">
      <c r="A493" s="13"/>
      <c r="B493" s="13"/>
      <c r="C493" s="13"/>
      <c r="D493" s="13"/>
      <c r="E493" s="10"/>
      <c r="F493" s="10"/>
      <c r="G493" s="10"/>
      <c r="H493" s="10"/>
      <c r="I493" s="10"/>
      <c r="J493" s="10"/>
      <c r="K493" s="10"/>
      <c r="L493" s="10"/>
      <c r="M493" s="31"/>
      <c r="N493" s="31"/>
      <c r="O493" s="31"/>
      <c r="P493" s="10"/>
      <c r="Q493" s="10"/>
      <c r="R493" s="10"/>
      <c r="S493" s="10"/>
      <c r="T493" s="10"/>
      <c r="U493" s="10"/>
      <c r="V493" s="10"/>
    </row>
    <row r="494" spans="1:22" x14ac:dyDescent="0.35">
      <c r="A494" s="13"/>
      <c r="E494" s="10"/>
      <c r="F494" s="10"/>
      <c r="G494" s="10"/>
      <c r="H494" s="10"/>
      <c r="I494" s="10"/>
      <c r="J494" s="10"/>
      <c r="K494" s="10"/>
      <c r="L494" s="10"/>
      <c r="M494" s="31"/>
      <c r="N494" s="31"/>
      <c r="O494" s="31"/>
      <c r="P494" s="10"/>
      <c r="Q494" s="10"/>
      <c r="R494" s="10"/>
      <c r="S494" s="10"/>
      <c r="T494" s="10"/>
      <c r="U494" s="10"/>
      <c r="V494" s="10"/>
    </row>
    <row r="495" spans="1:22" x14ac:dyDescent="0.35">
      <c r="A495" s="13"/>
      <c r="E495" s="10"/>
      <c r="F495" s="10"/>
      <c r="G495" s="10"/>
      <c r="H495" s="10"/>
      <c r="I495" s="10"/>
      <c r="J495" s="10"/>
      <c r="K495" s="10"/>
      <c r="L495" s="10"/>
      <c r="M495" s="31"/>
      <c r="N495" s="31"/>
      <c r="O495" s="31"/>
      <c r="P495" s="10"/>
      <c r="Q495" s="10"/>
      <c r="R495" s="10"/>
      <c r="S495" s="10"/>
      <c r="T495" s="10"/>
      <c r="U495" s="10"/>
      <c r="V495" s="10"/>
    </row>
    <row r="496" spans="1:22" x14ac:dyDescent="0.35">
      <c r="A496" s="16"/>
      <c r="E496" s="17"/>
      <c r="F496" s="17"/>
      <c r="G496" s="17"/>
      <c r="H496" s="17"/>
      <c r="I496" s="17"/>
      <c r="J496" s="17"/>
      <c r="K496" s="17"/>
      <c r="L496" s="17"/>
      <c r="M496" s="34"/>
      <c r="N496" s="34"/>
      <c r="O496" s="34"/>
      <c r="P496" s="17"/>
      <c r="Q496" s="17"/>
      <c r="R496" s="17"/>
      <c r="S496" s="17"/>
      <c r="T496" s="17"/>
      <c r="U496" s="17"/>
      <c r="V496" s="17"/>
    </row>
    <row r="497" spans="1:22" x14ac:dyDescent="0.35">
      <c r="A497" s="20"/>
      <c r="V497" s="15"/>
    </row>
    <row r="498" spans="1:22" x14ac:dyDescent="0.35">
      <c r="A498" s="13"/>
      <c r="E498" s="10"/>
      <c r="F498" s="10"/>
      <c r="G498" s="10"/>
      <c r="H498" s="10"/>
      <c r="I498" s="10"/>
      <c r="J498" s="10"/>
      <c r="K498" s="10"/>
      <c r="L498" s="10"/>
      <c r="M498" s="31"/>
      <c r="N498" s="31"/>
      <c r="O498" s="31"/>
      <c r="P498" s="10"/>
      <c r="Q498" s="10"/>
      <c r="R498" s="10"/>
      <c r="S498" s="10"/>
      <c r="T498" s="10"/>
      <c r="U498" s="10"/>
      <c r="V498" s="10"/>
    </row>
    <row r="499" spans="1:22" x14ac:dyDescent="0.35">
      <c r="A499" s="13"/>
      <c r="E499" s="10"/>
      <c r="F499" s="10"/>
      <c r="G499" s="10"/>
      <c r="H499" s="10"/>
      <c r="I499" s="10"/>
      <c r="J499" s="10"/>
      <c r="K499" s="10"/>
      <c r="L499" s="10"/>
      <c r="M499" s="31"/>
      <c r="N499" s="31"/>
      <c r="O499" s="31"/>
      <c r="P499" s="10"/>
      <c r="Q499" s="10"/>
      <c r="R499" s="10"/>
      <c r="S499" s="10"/>
      <c r="T499" s="10"/>
      <c r="U499" s="10"/>
      <c r="V499" s="10"/>
    </row>
    <row r="500" spans="1:22" x14ac:dyDescent="0.35">
      <c r="A500" s="13"/>
      <c r="E500" s="10"/>
      <c r="F500" s="10"/>
      <c r="G500" s="10"/>
      <c r="H500" s="10"/>
      <c r="I500" s="10"/>
      <c r="J500" s="10"/>
      <c r="K500" s="10"/>
      <c r="L500" s="10"/>
      <c r="M500" s="31"/>
      <c r="N500" s="31"/>
      <c r="O500" s="31"/>
      <c r="P500" s="10"/>
      <c r="Q500" s="10"/>
      <c r="R500" s="10"/>
      <c r="S500" s="10"/>
      <c r="T500" s="10"/>
      <c r="U500" s="10"/>
      <c r="V500" s="10"/>
    </row>
    <row r="501" spans="1:22" x14ac:dyDescent="0.35">
      <c r="A501" s="13"/>
      <c r="E501" s="10"/>
      <c r="F501" s="10"/>
      <c r="G501" s="10"/>
      <c r="H501" s="10"/>
      <c r="I501" s="10"/>
      <c r="J501" s="10"/>
      <c r="K501" s="10"/>
      <c r="L501" s="10"/>
      <c r="M501" s="31"/>
      <c r="N501" s="31"/>
      <c r="O501" s="31"/>
      <c r="P501" s="10"/>
      <c r="Q501" s="10"/>
      <c r="R501" s="10"/>
      <c r="S501" s="10"/>
      <c r="T501" s="10"/>
      <c r="U501" s="10"/>
      <c r="V501" s="10"/>
    </row>
    <row r="502" spans="1:22" x14ac:dyDescent="0.35">
      <c r="A502" s="13"/>
      <c r="E502" s="10"/>
      <c r="F502" s="10"/>
      <c r="G502" s="10"/>
      <c r="H502" s="10"/>
      <c r="I502" s="10"/>
      <c r="J502" s="10"/>
      <c r="K502" s="10"/>
      <c r="L502" s="10"/>
      <c r="M502" s="31"/>
      <c r="N502" s="31"/>
      <c r="O502" s="31"/>
      <c r="P502" s="10"/>
      <c r="Q502" s="10"/>
      <c r="R502" s="10"/>
      <c r="S502" s="10"/>
      <c r="T502" s="10"/>
      <c r="U502" s="10"/>
      <c r="V502" s="10"/>
    </row>
    <row r="503" spans="1:22" x14ac:dyDescent="0.35">
      <c r="A503" s="13"/>
      <c r="E503" s="10"/>
      <c r="F503" s="10"/>
      <c r="G503" s="10"/>
      <c r="H503" s="10"/>
      <c r="I503" s="10"/>
      <c r="J503" s="10"/>
      <c r="K503" s="10"/>
      <c r="L503" s="10"/>
      <c r="M503" s="31"/>
      <c r="N503" s="31"/>
      <c r="O503" s="31"/>
      <c r="P503" s="10"/>
      <c r="Q503" s="10"/>
      <c r="R503" s="10"/>
      <c r="S503" s="10"/>
      <c r="T503" s="10"/>
      <c r="U503" s="10"/>
      <c r="V503" s="10"/>
    </row>
    <row r="504" spans="1:22" x14ac:dyDescent="0.35">
      <c r="A504" s="13"/>
      <c r="E504" s="10"/>
      <c r="F504" s="10"/>
      <c r="G504" s="10"/>
      <c r="H504" s="10"/>
      <c r="I504" s="10"/>
      <c r="J504" s="10"/>
      <c r="K504" s="10"/>
      <c r="L504" s="10"/>
      <c r="M504" s="31"/>
      <c r="N504" s="31"/>
      <c r="O504" s="31"/>
      <c r="P504" s="10"/>
      <c r="Q504" s="10"/>
      <c r="R504" s="10"/>
      <c r="S504" s="10"/>
      <c r="T504" s="10"/>
      <c r="U504" s="10"/>
      <c r="V504" s="10"/>
    </row>
    <row r="505" spans="1:22" x14ac:dyDescent="0.35">
      <c r="A505" s="13"/>
      <c r="E505" s="10"/>
      <c r="F505" s="10"/>
      <c r="G505" s="10"/>
      <c r="H505" s="10"/>
      <c r="I505" s="10"/>
      <c r="J505" s="10"/>
      <c r="K505" s="10"/>
      <c r="L505" s="10"/>
      <c r="M505" s="31"/>
      <c r="N505" s="31"/>
      <c r="O505" s="31"/>
      <c r="P505" s="10"/>
      <c r="Q505" s="10"/>
      <c r="R505" s="10"/>
      <c r="S505" s="10"/>
      <c r="T505" s="10"/>
      <c r="U505" s="10"/>
      <c r="V505" s="10"/>
    </row>
    <row r="506" spans="1:22" x14ac:dyDescent="0.35">
      <c r="A506" s="13"/>
      <c r="E506" s="10"/>
      <c r="F506" s="10"/>
      <c r="G506" s="10"/>
      <c r="H506" s="10"/>
      <c r="I506" s="10"/>
      <c r="J506" s="10"/>
      <c r="K506" s="10"/>
      <c r="L506" s="10"/>
      <c r="M506" s="31"/>
      <c r="N506" s="31"/>
      <c r="O506" s="31"/>
      <c r="P506" s="10"/>
      <c r="Q506" s="10"/>
      <c r="R506" s="10"/>
      <c r="S506" s="10"/>
      <c r="T506" s="10"/>
      <c r="U506" s="10"/>
      <c r="V506" s="10"/>
    </row>
    <row r="507" spans="1:22" x14ac:dyDescent="0.35">
      <c r="A507" s="13"/>
      <c r="E507" s="10"/>
      <c r="F507" s="10"/>
      <c r="G507" s="10"/>
      <c r="H507" s="10"/>
      <c r="I507" s="10"/>
      <c r="J507" s="10"/>
      <c r="K507" s="10"/>
      <c r="L507" s="10"/>
      <c r="M507" s="31"/>
      <c r="N507" s="31"/>
      <c r="O507" s="31"/>
      <c r="P507" s="10"/>
      <c r="Q507" s="10"/>
      <c r="R507" s="10"/>
      <c r="S507" s="10"/>
      <c r="T507" s="10"/>
      <c r="U507" s="10"/>
      <c r="V507" s="10"/>
    </row>
    <row r="508" spans="1:22" x14ac:dyDescent="0.35">
      <c r="A508" s="13"/>
      <c r="E508" s="10"/>
      <c r="F508" s="10"/>
      <c r="G508" s="10"/>
      <c r="H508" s="10"/>
      <c r="I508" s="10"/>
      <c r="J508" s="10"/>
      <c r="K508" s="10"/>
      <c r="L508" s="10"/>
      <c r="M508" s="31"/>
      <c r="N508" s="31"/>
      <c r="O508" s="31"/>
      <c r="P508" s="10"/>
      <c r="Q508" s="10"/>
      <c r="R508" s="10"/>
      <c r="S508" s="10"/>
      <c r="T508" s="10"/>
      <c r="U508" s="10"/>
      <c r="V508" s="10"/>
    </row>
    <row r="509" spans="1:22" x14ac:dyDescent="0.35">
      <c r="A509" s="13"/>
      <c r="E509" s="10"/>
      <c r="F509" s="10"/>
      <c r="G509" s="10"/>
      <c r="H509" s="10"/>
      <c r="I509" s="10"/>
      <c r="J509" s="10"/>
      <c r="K509" s="10"/>
      <c r="L509" s="10"/>
      <c r="M509" s="31"/>
      <c r="N509" s="31"/>
      <c r="O509" s="31"/>
      <c r="P509" s="10"/>
      <c r="Q509" s="10"/>
      <c r="R509" s="10"/>
      <c r="S509" s="10"/>
      <c r="T509" s="10"/>
      <c r="U509" s="10"/>
      <c r="V509" s="10"/>
    </row>
    <row r="510" spans="1:22" x14ac:dyDescent="0.35">
      <c r="A510" s="13"/>
      <c r="E510" s="10"/>
      <c r="F510" s="10"/>
      <c r="G510" s="10"/>
      <c r="H510" s="10"/>
      <c r="I510" s="10"/>
      <c r="J510" s="10"/>
      <c r="K510" s="10"/>
      <c r="L510" s="10"/>
      <c r="M510" s="31"/>
      <c r="N510" s="31"/>
      <c r="O510" s="31"/>
      <c r="P510" s="10"/>
      <c r="Q510" s="10"/>
      <c r="R510" s="10"/>
      <c r="S510" s="10"/>
      <c r="T510" s="10"/>
      <c r="U510" s="10"/>
      <c r="V510" s="10"/>
    </row>
    <row r="511" spans="1:22" x14ac:dyDescent="0.35">
      <c r="A511" s="13"/>
      <c r="E511" s="10"/>
      <c r="F511" s="10"/>
      <c r="G511" s="10"/>
      <c r="H511" s="10"/>
      <c r="I511" s="10"/>
      <c r="J511" s="10"/>
      <c r="K511" s="10"/>
      <c r="L511" s="10"/>
      <c r="M511" s="31"/>
      <c r="N511" s="31"/>
      <c r="O511" s="31"/>
      <c r="P511" s="10"/>
      <c r="Q511" s="10"/>
      <c r="R511" s="10"/>
      <c r="S511" s="10"/>
      <c r="T511" s="10"/>
      <c r="U511" s="10"/>
      <c r="V511" s="10"/>
    </row>
    <row r="512" spans="1:22" x14ac:dyDescent="0.35">
      <c r="A512" s="13"/>
      <c r="E512" s="10"/>
      <c r="F512" s="10"/>
      <c r="G512" s="10"/>
      <c r="H512" s="10"/>
      <c r="I512" s="10"/>
      <c r="J512" s="10"/>
      <c r="K512" s="10"/>
      <c r="L512" s="10"/>
      <c r="M512" s="31"/>
      <c r="N512" s="31"/>
      <c r="O512" s="31"/>
      <c r="P512" s="10"/>
      <c r="Q512" s="10"/>
      <c r="R512" s="10"/>
      <c r="S512" s="10"/>
      <c r="T512" s="10"/>
      <c r="U512" s="10"/>
      <c r="V512" s="10"/>
    </row>
    <row r="513" spans="1:22" x14ac:dyDescent="0.35">
      <c r="A513" s="13"/>
      <c r="E513" s="10"/>
      <c r="F513" s="10"/>
      <c r="G513" s="10"/>
      <c r="H513" s="10"/>
      <c r="I513" s="10"/>
      <c r="J513" s="10"/>
      <c r="K513" s="10"/>
      <c r="L513" s="10"/>
      <c r="M513" s="31"/>
      <c r="N513" s="31"/>
      <c r="O513" s="31"/>
      <c r="P513" s="10"/>
      <c r="Q513" s="10"/>
      <c r="R513" s="10"/>
      <c r="S513" s="10"/>
      <c r="T513" s="10"/>
      <c r="U513" s="10"/>
      <c r="V513" s="10"/>
    </row>
    <row r="514" spans="1:22" x14ac:dyDescent="0.35">
      <c r="A514" s="13"/>
      <c r="E514" s="10"/>
      <c r="F514" s="10"/>
      <c r="G514" s="10"/>
      <c r="H514" s="10"/>
      <c r="I514" s="10"/>
      <c r="J514" s="10"/>
      <c r="K514" s="10"/>
      <c r="L514" s="10"/>
      <c r="M514" s="31"/>
      <c r="N514" s="31"/>
      <c r="O514" s="31"/>
      <c r="P514" s="10"/>
      <c r="Q514" s="10"/>
      <c r="R514" s="10"/>
      <c r="S514" s="10"/>
      <c r="T514" s="10"/>
      <c r="U514" s="10"/>
      <c r="V514" s="10"/>
    </row>
    <row r="515" spans="1:22" x14ac:dyDescent="0.35">
      <c r="A515" s="13"/>
      <c r="E515" s="10"/>
      <c r="F515" s="10"/>
      <c r="G515" s="10"/>
      <c r="H515" s="10"/>
      <c r="I515" s="10"/>
      <c r="J515" s="10"/>
      <c r="K515" s="10"/>
      <c r="L515" s="10"/>
      <c r="M515" s="31"/>
      <c r="N515" s="31"/>
      <c r="O515" s="31"/>
      <c r="P515" s="10"/>
      <c r="Q515" s="10"/>
      <c r="R515" s="10"/>
      <c r="S515" s="10"/>
      <c r="T515" s="10"/>
      <c r="U515" s="10"/>
      <c r="V515" s="10"/>
    </row>
    <row r="516" spans="1:22" x14ac:dyDescent="0.35">
      <c r="A516" s="13"/>
      <c r="E516" s="10"/>
      <c r="F516" s="10"/>
      <c r="G516" s="10"/>
      <c r="H516" s="10"/>
      <c r="I516" s="10"/>
      <c r="J516" s="10"/>
      <c r="K516" s="10"/>
      <c r="L516" s="10"/>
      <c r="M516" s="31"/>
      <c r="N516" s="31"/>
      <c r="O516" s="31"/>
      <c r="P516" s="10"/>
      <c r="Q516" s="10"/>
      <c r="R516" s="10"/>
      <c r="S516" s="10"/>
      <c r="T516" s="10"/>
      <c r="U516" s="10"/>
      <c r="V516" s="10"/>
    </row>
    <row r="517" spans="1:22" x14ac:dyDescent="0.35">
      <c r="A517" s="13"/>
      <c r="E517" s="10"/>
      <c r="F517" s="10"/>
      <c r="G517" s="10"/>
      <c r="H517" s="10"/>
      <c r="I517" s="10"/>
      <c r="J517" s="10"/>
      <c r="K517" s="10"/>
      <c r="L517" s="10"/>
      <c r="M517" s="31"/>
      <c r="N517" s="31"/>
      <c r="O517" s="31"/>
      <c r="P517" s="10"/>
      <c r="Q517" s="10"/>
      <c r="R517" s="10"/>
      <c r="S517" s="10"/>
      <c r="T517" s="10"/>
      <c r="U517" s="10"/>
      <c r="V517" s="10"/>
    </row>
    <row r="518" spans="1:22" x14ac:dyDescent="0.35">
      <c r="A518" s="13"/>
      <c r="E518" s="10"/>
      <c r="F518" s="10"/>
      <c r="G518" s="10"/>
      <c r="H518" s="10"/>
      <c r="I518" s="10"/>
      <c r="J518" s="10"/>
      <c r="K518" s="10"/>
      <c r="L518" s="10"/>
      <c r="M518" s="31"/>
      <c r="N518" s="31"/>
      <c r="O518" s="31"/>
      <c r="P518" s="10"/>
      <c r="Q518" s="10"/>
      <c r="R518" s="10"/>
      <c r="S518" s="10"/>
      <c r="T518" s="10"/>
      <c r="U518" s="10"/>
      <c r="V518" s="10"/>
    </row>
    <row r="519" spans="1:22" x14ac:dyDescent="0.35">
      <c r="A519" s="13"/>
      <c r="E519" s="10"/>
      <c r="F519" s="10"/>
      <c r="G519" s="10"/>
      <c r="H519" s="10"/>
      <c r="I519" s="10"/>
      <c r="J519" s="10"/>
      <c r="K519" s="10"/>
      <c r="L519" s="10"/>
      <c r="M519" s="31"/>
      <c r="N519" s="31"/>
      <c r="O519" s="31"/>
      <c r="P519" s="10"/>
      <c r="Q519" s="10"/>
      <c r="R519" s="10"/>
      <c r="S519" s="10"/>
      <c r="T519" s="10"/>
      <c r="U519" s="10"/>
      <c r="V519" s="10"/>
    </row>
    <row r="520" spans="1:22" x14ac:dyDescent="0.35">
      <c r="A520" s="13"/>
      <c r="E520" s="10"/>
      <c r="F520" s="10"/>
      <c r="G520" s="10"/>
      <c r="H520" s="10"/>
      <c r="I520" s="10"/>
      <c r="J520" s="10"/>
      <c r="K520" s="10"/>
      <c r="L520" s="10"/>
      <c r="M520" s="31"/>
      <c r="N520" s="31"/>
      <c r="O520" s="31"/>
      <c r="P520" s="10"/>
      <c r="Q520" s="10"/>
      <c r="R520" s="10"/>
      <c r="S520" s="10"/>
      <c r="T520" s="10"/>
      <c r="U520" s="10"/>
      <c r="V520" s="10"/>
    </row>
    <row r="521" spans="1:22" x14ac:dyDescent="0.35">
      <c r="A521" s="13"/>
      <c r="E521" s="10"/>
      <c r="F521" s="10"/>
      <c r="G521" s="10"/>
      <c r="H521" s="10"/>
      <c r="I521" s="10"/>
      <c r="J521" s="10"/>
      <c r="K521" s="10"/>
      <c r="L521" s="10"/>
      <c r="M521" s="31"/>
      <c r="N521" s="31"/>
      <c r="O521" s="31"/>
      <c r="P521" s="10"/>
      <c r="Q521" s="10"/>
      <c r="R521" s="10"/>
      <c r="S521" s="10"/>
      <c r="T521" s="10"/>
      <c r="U521" s="10"/>
      <c r="V521" s="10"/>
    </row>
    <row r="522" spans="1:22" x14ac:dyDescent="0.35">
      <c r="A522" s="13"/>
      <c r="E522" s="10"/>
      <c r="F522" s="10"/>
      <c r="G522" s="10"/>
      <c r="H522" s="10"/>
      <c r="I522" s="10"/>
      <c r="J522" s="10"/>
      <c r="K522" s="10"/>
      <c r="L522" s="10"/>
      <c r="M522" s="31"/>
      <c r="N522" s="31"/>
      <c r="O522" s="31"/>
      <c r="P522" s="10"/>
      <c r="Q522" s="10"/>
      <c r="R522" s="10"/>
      <c r="S522" s="10"/>
      <c r="T522" s="10"/>
      <c r="U522" s="10"/>
      <c r="V522" s="10"/>
    </row>
    <row r="523" spans="1:22" x14ac:dyDescent="0.35">
      <c r="A523" s="16"/>
      <c r="E523" s="17"/>
      <c r="F523" s="17"/>
      <c r="G523" s="17"/>
      <c r="H523" s="17"/>
      <c r="I523" s="17"/>
      <c r="J523" s="17"/>
      <c r="K523" s="17"/>
      <c r="L523" s="17"/>
      <c r="M523" s="34"/>
      <c r="N523" s="34"/>
      <c r="O523" s="34"/>
      <c r="P523" s="17"/>
      <c r="Q523" s="17"/>
      <c r="R523" s="17"/>
      <c r="S523" s="17"/>
      <c r="T523" s="17"/>
      <c r="U523" s="17"/>
      <c r="V523" s="17"/>
    </row>
    <row r="524" spans="1:22" x14ac:dyDescent="0.35">
      <c r="A524" s="13"/>
      <c r="E524" s="10"/>
      <c r="F524" s="10"/>
      <c r="G524" s="10"/>
      <c r="H524" s="10"/>
      <c r="I524" s="10"/>
      <c r="J524" s="10"/>
      <c r="K524" s="10"/>
      <c r="L524" s="10"/>
      <c r="M524" s="31"/>
      <c r="N524" s="31"/>
      <c r="O524" s="31"/>
      <c r="P524" s="10"/>
      <c r="Q524" s="10"/>
      <c r="R524" s="10"/>
      <c r="S524" s="10"/>
      <c r="T524" s="10"/>
      <c r="U524" s="10"/>
      <c r="V524" s="10"/>
    </row>
    <row r="525" spans="1:22" x14ac:dyDescent="0.35">
      <c r="A525" s="16"/>
      <c r="E525" s="17"/>
      <c r="F525" s="17"/>
      <c r="G525" s="17"/>
      <c r="H525" s="17"/>
      <c r="I525" s="17"/>
      <c r="J525" s="17"/>
      <c r="K525" s="17"/>
      <c r="L525" s="17"/>
      <c r="M525" s="34"/>
      <c r="N525" s="34"/>
      <c r="O525" s="34"/>
      <c r="P525" s="17"/>
      <c r="Q525" s="17"/>
      <c r="R525" s="17"/>
      <c r="S525" s="17"/>
      <c r="T525" s="17"/>
      <c r="U525" s="17"/>
      <c r="V525" s="17"/>
    </row>
    <row r="526" spans="1:22" x14ac:dyDescent="0.35">
      <c r="A526" s="16"/>
      <c r="E526" s="17"/>
      <c r="F526" s="17"/>
      <c r="G526" s="17"/>
      <c r="H526" s="17"/>
      <c r="I526" s="17"/>
      <c r="J526" s="17"/>
      <c r="K526" s="17"/>
      <c r="L526" s="17"/>
      <c r="M526" s="34"/>
      <c r="N526" s="34"/>
      <c r="O526" s="34"/>
      <c r="P526" s="17"/>
      <c r="Q526" s="17"/>
      <c r="R526" s="17"/>
      <c r="S526" s="17"/>
      <c r="T526" s="17"/>
      <c r="U526" s="17"/>
      <c r="V526" s="17"/>
    </row>
    <row r="527" spans="1:22" x14ac:dyDescent="0.35">
      <c r="A527" s="16"/>
      <c r="E527" s="17"/>
      <c r="F527" s="17"/>
      <c r="G527" s="17"/>
      <c r="H527" s="17"/>
      <c r="I527" s="17"/>
      <c r="J527" s="17"/>
      <c r="K527" s="17"/>
      <c r="L527" s="17"/>
      <c r="M527" s="34"/>
      <c r="N527" s="34"/>
      <c r="O527" s="34"/>
      <c r="P527" s="17"/>
      <c r="Q527" s="17"/>
      <c r="R527" s="17"/>
      <c r="S527" s="17"/>
      <c r="T527" s="17"/>
      <c r="U527" s="17"/>
      <c r="V527" s="17"/>
    </row>
    <row r="528" spans="1:22" x14ac:dyDescent="0.35">
      <c r="A528" s="16"/>
      <c r="E528" s="17"/>
      <c r="F528" s="17"/>
      <c r="G528" s="17"/>
      <c r="H528" s="17"/>
      <c r="I528" s="17"/>
      <c r="J528" s="17"/>
      <c r="K528" s="17"/>
      <c r="L528" s="17"/>
      <c r="M528" s="34"/>
      <c r="N528" s="34"/>
      <c r="O528" s="34"/>
      <c r="P528" s="17"/>
      <c r="Q528" s="17"/>
      <c r="R528" s="17"/>
      <c r="S528" s="17"/>
      <c r="T528" s="17"/>
      <c r="U528" s="17"/>
      <c r="V528" s="17"/>
    </row>
    <row r="529" spans="1:22" x14ac:dyDescent="0.35">
      <c r="A529" s="13"/>
      <c r="E529" s="10"/>
      <c r="F529" s="10"/>
      <c r="G529" s="10"/>
      <c r="H529" s="10"/>
      <c r="I529" s="10"/>
      <c r="J529" s="10"/>
      <c r="K529" s="10"/>
      <c r="L529" s="10"/>
      <c r="M529" s="31"/>
      <c r="N529" s="31"/>
      <c r="O529" s="31"/>
      <c r="P529" s="10"/>
      <c r="Q529" s="10"/>
      <c r="R529" s="10"/>
      <c r="S529" s="10"/>
      <c r="T529" s="10"/>
      <c r="U529" s="10"/>
      <c r="V529" s="10"/>
    </row>
    <row r="530" spans="1:22" x14ac:dyDescent="0.35">
      <c r="A530" s="13"/>
      <c r="E530" s="10"/>
      <c r="F530" s="10"/>
      <c r="G530" s="10"/>
      <c r="H530" s="10"/>
      <c r="I530" s="10"/>
      <c r="J530" s="10"/>
      <c r="K530" s="10"/>
      <c r="L530" s="10"/>
      <c r="M530" s="31"/>
      <c r="N530" s="31"/>
      <c r="O530" s="31"/>
      <c r="P530" s="10"/>
      <c r="Q530" s="10"/>
      <c r="R530" s="10"/>
      <c r="S530" s="10"/>
      <c r="T530" s="10"/>
      <c r="U530" s="10"/>
      <c r="V530" s="10"/>
    </row>
    <row r="531" spans="1:22" x14ac:dyDescent="0.35">
      <c r="A531" s="13"/>
      <c r="E531" s="10"/>
      <c r="F531" s="10"/>
      <c r="G531" s="10"/>
      <c r="H531" s="10"/>
      <c r="I531" s="10"/>
      <c r="J531" s="10"/>
      <c r="K531" s="10"/>
      <c r="L531" s="10"/>
      <c r="M531" s="31"/>
      <c r="N531" s="31"/>
      <c r="O531" s="31"/>
      <c r="P531" s="10"/>
      <c r="Q531" s="10"/>
      <c r="R531" s="10"/>
      <c r="S531" s="10"/>
      <c r="T531" s="10"/>
      <c r="U531" s="10"/>
      <c r="V531" s="10"/>
    </row>
    <row r="532" spans="1:22" x14ac:dyDescent="0.35">
      <c r="A532" s="13"/>
      <c r="E532" s="10"/>
      <c r="F532" s="10"/>
      <c r="G532" s="10"/>
      <c r="H532" s="10"/>
      <c r="I532" s="10"/>
      <c r="J532" s="10"/>
      <c r="K532" s="10"/>
      <c r="L532" s="10"/>
      <c r="M532" s="31"/>
      <c r="N532" s="31"/>
      <c r="O532" s="31"/>
      <c r="P532" s="10"/>
      <c r="Q532" s="10"/>
      <c r="R532" s="10"/>
      <c r="S532" s="10"/>
      <c r="T532" s="10"/>
      <c r="U532" s="10"/>
      <c r="V532" s="10"/>
    </row>
    <row r="533" spans="1:22" x14ac:dyDescent="0.35">
      <c r="A533" s="13"/>
      <c r="E533" s="10"/>
      <c r="F533" s="10"/>
      <c r="G533" s="10"/>
      <c r="H533" s="10"/>
      <c r="I533" s="10"/>
      <c r="J533" s="10"/>
      <c r="K533" s="10"/>
      <c r="L533" s="10"/>
      <c r="M533" s="31"/>
      <c r="N533" s="31"/>
      <c r="O533" s="31"/>
      <c r="P533" s="10"/>
      <c r="Q533" s="10"/>
      <c r="R533" s="10"/>
      <c r="S533" s="10"/>
      <c r="T533" s="10"/>
      <c r="U533" s="10"/>
      <c r="V533" s="10"/>
    </row>
    <row r="534" spans="1:22" x14ac:dyDescent="0.35">
      <c r="A534" s="13"/>
      <c r="E534" s="10"/>
      <c r="F534" s="10"/>
      <c r="G534" s="10"/>
      <c r="H534" s="10"/>
      <c r="I534" s="10"/>
      <c r="J534" s="10"/>
      <c r="K534" s="10"/>
      <c r="L534" s="10"/>
      <c r="M534" s="31"/>
      <c r="N534" s="31"/>
      <c r="O534" s="31"/>
      <c r="P534" s="10"/>
      <c r="Q534" s="10"/>
      <c r="R534" s="10"/>
      <c r="S534" s="10"/>
      <c r="T534" s="10"/>
      <c r="U534" s="10"/>
      <c r="V534" s="10"/>
    </row>
    <row r="535" spans="1:22" x14ac:dyDescent="0.35">
      <c r="A535" s="13"/>
      <c r="E535" s="10"/>
      <c r="F535" s="10"/>
      <c r="G535" s="10"/>
      <c r="H535" s="10"/>
      <c r="I535" s="10"/>
      <c r="J535" s="10"/>
      <c r="K535" s="10"/>
      <c r="L535" s="10"/>
      <c r="M535" s="31"/>
      <c r="N535" s="31"/>
      <c r="O535" s="31"/>
      <c r="P535" s="10"/>
      <c r="Q535" s="10"/>
      <c r="R535" s="10"/>
      <c r="S535" s="10"/>
      <c r="T535" s="10"/>
      <c r="U535" s="10"/>
      <c r="V535" s="10"/>
    </row>
    <row r="536" spans="1:22" x14ac:dyDescent="0.35">
      <c r="A536" s="13"/>
      <c r="E536" s="10"/>
      <c r="F536" s="10"/>
      <c r="G536" s="10"/>
      <c r="H536" s="10"/>
      <c r="I536" s="10"/>
      <c r="J536" s="10"/>
      <c r="K536" s="10"/>
      <c r="L536" s="10"/>
      <c r="M536" s="31"/>
      <c r="N536" s="31"/>
      <c r="O536" s="31"/>
      <c r="P536" s="10"/>
      <c r="Q536" s="10"/>
      <c r="R536" s="10"/>
      <c r="S536" s="10"/>
      <c r="T536" s="10"/>
      <c r="U536" s="10"/>
      <c r="V536" s="10"/>
    </row>
    <row r="537" spans="1:22" x14ac:dyDescent="0.35">
      <c r="A537" s="13"/>
      <c r="E537" s="10"/>
      <c r="F537" s="10"/>
      <c r="G537" s="10"/>
      <c r="H537" s="10"/>
      <c r="I537" s="10"/>
      <c r="J537" s="10"/>
      <c r="K537" s="10"/>
      <c r="L537" s="10"/>
      <c r="M537" s="31"/>
      <c r="N537" s="31"/>
      <c r="O537" s="31"/>
      <c r="P537" s="10"/>
      <c r="Q537" s="10"/>
      <c r="R537" s="10"/>
      <c r="S537" s="10"/>
      <c r="T537" s="10"/>
      <c r="U537" s="10"/>
      <c r="V537" s="10"/>
    </row>
    <row r="538" spans="1:22" x14ac:dyDescent="0.35">
      <c r="A538" s="13"/>
      <c r="E538" s="10"/>
      <c r="F538" s="10"/>
      <c r="G538" s="10"/>
      <c r="H538" s="10"/>
      <c r="I538" s="10"/>
      <c r="J538" s="10"/>
      <c r="K538" s="10"/>
      <c r="L538" s="10"/>
      <c r="M538" s="31"/>
      <c r="N538" s="31"/>
      <c r="O538" s="31"/>
      <c r="P538" s="10"/>
      <c r="Q538" s="10"/>
      <c r="R538" s="10"/>
      <c r="S538" s="10"/>
      <c r="T538" s="10"/>
      <c r="U538" s="10"/>
      <c r="V538" s="10"/>
    </row>
    <row r="539" spans="1:22" x14ac:dyDescent="0.35">
      <c r="A539" s="13"/>
      <c r="E539" s="10"/>
      <c r="F539" s="10"/>
      <c r="G539" s="10"/>
      <c r="H539" s="10"/>
      <c r="I539" s="10"/>
      <c r="J539" s="10"/>
      <c r="K539" s="10"/>
      <c r="L539" s="10"/>
      <c r="M539" s="31"/>
      <c r="N539" s="31"/>
      <c r="O539" s="31"/>
      <c r="P539" s="10"/>
      <c r="Q539" s="10"/>
      <c r="R539" s="10"/>
      <c r="S539" s="10"/>
      <c r="T539" s="10"/>
      <c r="U539" s="10"/>
      <c r="V539" s="10"/>
    </row>
    <row r="540" spans="1:22" x14ac:dyDescent="0.35">
      <c r="A540" s="13"/>
      <c r="E540" s="10"/>
      <c r="F540" s="10"/>
      <c r="G540" s="10"/>
      <c r="H540" s="10"/>
      <c r="I540" s="10"/>
      <c r="J540" s="10"/>
      <c r="K540" s="10"/>
      <c r="L540" s="10"/>
      <c r="M540" s="31"/>
      <c r="N540" s="31"/>
      <c r="O540" s="31"/>
      <c r="P540" s="10"/>
      <c r="Q540" s="10"/>
      <c r="R540" s="10"/>
      <c r="S540" s="10"/>
      <c r="T540" s="10"/>
      <c r="U540" s="10"/>
      <c r="V540" s="10"/>
    </row>
    <row r="541" spans="1:22" x14ac:dyDescent="0.35">
      <c r="A541" s="13"/>
      <c r="E541" s="10"/>
      <c r="F541" s="10"/>
      <c r="G541" s="10"/>
      <c r="H541" s="10"/>
      <c r="I541" s="10"/>
      <c r="J541" s="10"/>
      <c r="K541" s="10"/>
      <c r="L541" s="10"/>
      <c r="M541" s="31"/>
      <c r="N541" s="31"/>
      <c r="O541" s="31"/>
      <c r="P541" s="10"/>
      <c r="Q541" s="10"/>
      <c r="R541" s="10"/>
      <c r="S541" s="10"/>
      <c r="T541" s="10"/>
      <c r="U541" s="10"/>
      <c r="V541" s="10"/>
    </row>
    <row r="542" spans="1:22" x14ac:dyDescent="0.35">
      <c r="A542" s="13"/>
      <c r="E542" s="10"/>
      <c r="F542" s="10"/>
      <c r="G542" s="10"/>
      <c r="H542" s="10"/>
      <c r="I542" s="10"/>
      <c r="J542" s="10"/>
      <c r="K542" s="10"/>
      <c r="L542" s="10"/>
      <c r="M542" s="31"/>
      <c r="N542" s="31"/>
      <c r="O542" s="31"/>
      <c r="P542" s="10"/>
      <c r="Q542" s="10"/>
      <c r="R542" s="10"/>
      <c r="S542" s="10"/>
      <c r="T542" s="10"/>
      <c r="U542" s="10"/>
      <c r="V542" s="10"/>
    </row>
    <row r="543" spans="1:22" x14ac:dyDescent="0.35">
      <c r="A543" s="13"/>
      <c r="E543" s="10"/>
      <c r="F543" s="10"/>
      <c r="G543" s="10"/>
      <c r="H543" s="10"/>
      <c r="I543" s="10"/>
      <c r="J543" s="10"/>
      <c r="K543" s="10"/>
      <c r="L543" s="10"/>
      <c r="M543" s="31"/>
      <c r="N543" s="31"/>
      <c r="O543" s="31"/>
      <c r="P543" s="10"/>
      <c r="Q543" s="10"/>
      <c r="R543" s="10"/>
      <c r="S543" s="10"/>
      <c r="T543" s="10"/>
      <c r="U543" s="10"/>
      <c r="V543" s="10"/>
    </row>
    <row r="544" spans="1:22" x14ac:dyDescent="0.35">
      <c r="A544" s="13"/>
      <c r="E544" s="10"/>
      <c r="F544" s="10"/>
      <c r="G544" s="10"/>
      <c r="H544" s="10"/>
      <c r="I544" s="10"/>
      <c r="J544" s="10"/>
      <c r="K544" s="10"/>
      <c r="L544" s="10"/>
      <c r="M544" s="31"/>
      <c r="N544" s="31"/>
      <c r="O544" s="31"/>
      <c r="P544" s="10"/>
      <c r="Q544" s="10"/>
      <c r="R544" s="10"/>
      <c r="S544" s="10"/>
      <c r="T544" s="10"/>
      <c r="U544" s="10"/>
      <c r="V544" s="10"/>
    </row>
    <row r="545" spans="1:22" x14ac:dyDescent="0.35">
      <c r="A545" s="13"/>
      <c r="E545" s="10"/>
      <c r="F545" s="10"/>
      <c r="G545" s="10"/>
      <c r="H545" s="10"/>
      <c r="I545" s="10"/>
      <c r="J545" s="10"/>
      <c r="K545" s="10"/>
      <c r="L545" s="10"/>
      <c r="M545" s="31"/>
      <c r="N545" s="31"/>
      <c r="O545" s="31"/>
      <c r="P545" s="10"/>
      <c r="Q545" s="10"/>
      <c r="R545" s="10"/>
      <c r="S545" s="10"/>
      <c r="T545" s="10"/>
      <c r="U545" s="10"/>
      <c r="V545" s="10"/>
    </row>
    <row r="546" spans="1:22" x14ac:dyDescent="0.35">
      <c r="A546" s="13"/>
      <c r="E546" s="10"/>
      <c r="F546" s="10"/>
      <c r="G546" s="10"/>
      <c r="H546" s="10"/>
      <c r="I546" s="10"/>
      <c r="J546" s="10"/>
      <c r="K546" s="10"/>
      <c r="L546" s="10"/>
      <c r="M546" s="31"/>
      <c r="N546" s="31"/>
      <c r="O546" s="31"/>
      <c r="P546" s="10"/>
      <c r="Q546" s="10"/>
      <c r="R546" s="10"/>
      <c r="S546" s="10"/>
      <c r="T546" s="10"/>
      <c r="U546" s="10"/>
      <c r="V546" s="10"/>
    </row>
    <row r="547" spans="1:22" x14ac:dyDescent="0.35">
      <c r="A547" s="13"/>
      <c r="E547" s="10"/>
      <c r="F547" s="10"/>
      <c r="G547" s="10"/>
      <c r="H547" s="10"/>
      <c r="I547" s="10"/>
      <c r="J547" s="10"/>
      <c r="K547" s="10"/>
      <c r="L547" s="10"/>
      <c r="M547" s="31"/>
      <c r="N547" s="31"/>
      <c r="O547" s="31"/>
      <c r="P547" s="10"/>
      <c r="Q547" s="10"/>
      <c r="R547" s="10"/>
      <c r="S547" s="10"/>
      <c r="T547" s="10"/>
      <c r="U547" s="10"/>
      <c r="V547" s="10"/>
    </row>
    <row r="548" spans="1:22" x14ac:dyDescent="0.35">
      <c r="A548" s="13"/>
      <c r="E548" s="10"/>
      <c r="F548" s="10"/>
      <c r="G548" s="10"/>
      <c r="H548" s="10"/>
      <c r="I548" s="10"/>
      <c r="J548" s="10"/>
      <c r="K548" s="10"/>
      <c r="L548" s="10"/>
      <c r="M548" s="31"/>
      <c r="N548" s="31"/>
      <c r="O548" s="31"/>
      <c r="P548" s="10"/>
      <c r="Q548" s="10"/>
      <c r="R548" s="10"/>
      <c r="S548" s="10"/>
      <c r="T548" s="10"/>
      <c r="U548" s="10"/>
      <c r="V548" s="10"/>
    </row>
    <row r="549" spans="1:22" x14ac:dyDescent="0.35">
      <c r="A549" s="13"/>
      <c r="E549" s="10"/>
      <c r="F549" s="10"/>
      <c r="G549" s="10"/>
      <c r="H549" s="10"/>
      <c r="I549" s="10"/>
      <c r="J549" s="10"/>
      <c r="K549" s="10"/>
      <c r="L549" s="10"/>
      <c r="M549" s="31"/>
      <c r="N549" s="31"/>
      <c r="O549" s="31"/>
      <c r="P549" s="10"/>
      <c r="Q549" s="10"/>
      <c r="R549" s="10"/>
      <c r="S549" s="10"/>
      <c r="T549" s="10"/>
      <c r="U549" s="10"/>
      <c r="V549" s="10"/>
    </row>
    <row r="550" spans="1:22" x14ac:dyDescent="0.35">
      <c r="A550" s="13"/>
      <c r="E550" s="10"/>
      <c r="F550" s="10"/>
      <c r="G550" s="10"/>
      <c r="H550" s="10"/>
      <c r="I550" s="10"/>
      <c r="J550" s="10"/>
      <c r="K550" s="10"/>
      <c r="L550" s="10"/>
      <c r="M550" s="31"/>
      <c r="N550" s="31"/>
      <c r="O550" s="31"/>
      <c r="P550" s="10"/>
      <c r="Q550" s="10"/>
      <c r="R550" s="10"/>
      <c r="S550" s="10"/>
      <c r="T550" s="10"/>
      <c r="U550" s="10"/>
      <c r="V550" s="10"/>
    </row>
    <row r="551" spans="1:22" x14ac:dyDescent="0.35">
      <c r="A551" s="13"/>
      <c r="E551" s="10"/>
      <c r="F551" s="10"/>
      <c r="G551" s="10"/>
      <c r="H551" s="10"/>
      <c r="I551" s="10"/>
      <c r="J551" s="10"/>
      <c r="K551" s="10"/>
      <c r="L551" s="10"/>
      <c r="M551" s="31"/>
      <c r="N551" s="31"/>
      <c r="O551" s="31"/>
      <c r="P551" s="10"/>
      <c r="Q551" s="10"/>
      <c r="R551" s="10"/>
      <c r="S551" s="10"/>
      <c r="T551" s="10"/>
      <c r="U551" s="10"/>
      <c r="V551" s="10"/>
    </row>
    <row r="552" spans="1:22" x14ac:dyDescent="0.35">
      <c r="A552" s="13"/>
      <c r="E552" s="10"/>
      <c r="F552" s="10"/>
      <c r="G552" s="10"/>
      <c r="H552" s="10"/>
      <c r="I552" s="10"/>
      <c r="J552" s="10"/>
      <c r="K552" s="10"/>
      <c r="L552" s="10"/>
      <c r="M552" s="31"/>
      <c r="N552" s="31"/>
      <c r="O552" s="31"/>
      <c r="P552" s="10"/>
      <c r="Q552" s="10"/>
      <c r="R552" s="10"/>
      <c r="S552" s="10"/>
      <c r="T552" s="10"/>
      <c r="U552" s="10"/>
      <c r="V552" s="10"/>
    </row>
    <row r="553" spans="1:22" x14ac:dyDescent="0.35">
      <c r="A553" s="20"/>
      <c r="V553" s="15"/>
    </row>
    <row r="554" spans="1:22" x14ac:dyDescent="0.35">
      <c r="A554" s="13"/>
      <c r="E554" s="10"/>
      <c r="F554" s="10"/>
      <c r="G554" s="10"/>
      <c r="H554" s="10"/>
      <c r="I554" s="10"/>
      <c r="J554" s="10"/>
      <c r="K554" s="10"/>
      <c r="L554" s="10"/>
      <c r="M554" s="31"/>
      <c r="N554" s="31"/>
      <c r="O554" s="31"/>
      <c r="P554" s="10"/>
      <c r="Q554" s="10"/>
      <c r="R554" s="10"/>
      <c r="S554" s="10"/>
      <c r="T554" s="10"/>
      <c r="U554" s="10"/>
      <c r="V554" s="10"/>
    </row>
    <row r="555" spans="1:22" x14ac:dyDescent="0.35">
      <c r="A555" s="13"/>
      <c r="E555" s="10"/>
      <c r="F555" s="10"/>
      <c r="G555" s="10"/>
      <c r="H555" s="10"/>
      <c r="I555" s="10"/>
      <c r="J555" s="10"/>
      <c r="K555" s="10"/>
      <c r="L555" s="10"/>
      <c r="M555" s="31"/>
      <c r="N555" s="31"/>
      <c r="O555" s="31"/>
      <c r="P555" s="10"/>
      <c r="Q555" s="10"/>
      <c r="R555" s="10"/>
      <c r="S555" s="10"/>
      <c r="T555" s="10"/>
      <c r="U555" s="10"/>
      <c r="V555" s="10"/>
    </row>
    <row r="556" spans="1:22" x14ac:dyDescent="0.35">
      <c r="A556" s="13"/>
      <c r="E556" s="10"/>
      <c r="F556" s="10"/>
      <c r="G556" s="10"/>
      <c r="H556" s="10"/>
      <c r="I556" s="10"/>
      <c r="J556" s="10"/>
      <c r="K556" s="10"/>
      <c r="L556" s="10"/>
      <c r="M556" s="31"/>
      <c r="N556" s="31"/>
      <c r="O556" s="31"/>
      <c r="P556" s="10"/>
      <c r="Q556" s="10"/>
      <c r="R556" s="10"/>
      <c r="S556" s="10"/>
      <c r="T556" s="10"/>
      <c r="U556" s="10"/>
      <c r="V556" s="10"/>
    </row>
    <row r="557" spans="1:22" x14ac:dyDescent="0.35">
      <c r="A557" s="13"/>
      <c r="E557" s="10"/>
      <c r="F557" s="10"/>
      <c r="G557" s="10"/>
      <c r="H557" s="10"/>
      <c r="I557" s="10"/>
      <c r="J557" s="10"/>
      <c r="K557" s="10"/>
      <c r="L557" s="10"/>
      <c r="M557" s="31"/>
      <c r="N557" s="31"/>
      <c r="O557" s="31"/>
      <c r="P557" s="10"/>
      <c r="Q557" s="10"/>
      <c r="R557" s="10"/>
      <c r="S557" s="10"/>
      <c r="T557" s="10"/>
      <c r="U557" s="10"/>
      <c r="V557" s="10"/>
    </row>
    <row r="558" spans="1:22" x14ac:dyDescent="0.35">
      <c r="A558" s="16"/>
      <c r="E558" s="17"/>
      <c r="F558" s="17"/>
      <c r="G558" s="17"/>
      <c r="H558" s="17"/>
      <c r="I558" s="17"/>
      <c r="J558" s="17"/>
      <c r="K558" s="17"/>
      <c r="L558" s="17"/>
      <c r="M558" s="34"/>
      <c r="N558" s="34"/>
      <c r="O558" s="34"/>
      <c r="P558" s="17"/>
      <c r="Q558" s="17"/>
      <c r="R558" s="17"/>
      <c r="S558" s="17"/>
      <c r="T558" s="17"/>
      <c r="U558" s="17"/>
      <c r="V558" s="17"/>
    </row>
    <row r="559" spans="1:22" x14ac:dyDescent="0.35">
      <c r="A559" s="13"/>
      <c r="E559" s="10"/>
      <c r="F559" s="10"/>
      <c r="G559" s="10"/>
      <c r="H559" s="10"/>
      <c r="I559" s="10"/>
      <c r="J559" s="10"/>
      <c r="K559" s="10"/>
      <c r="L559" s="10"/>
      <c r="M559" s="31"/>
      <c r="N559" s="31"/>
      <c r="O559" s="31"/>
      <c r="P559" s="10"/>
      <c r="Q559" s="10"/>
      <c r="R559" s="10"/>
      <c r="S559" s="10"/>
      <c r="T559" s="10"/>
      <c r="U559" s="10"/>
      <c r="V559" s="10"/>
    </row>
    <row r="560" spans="1:22" x14ac:dyDescent="0.35">
      <c r="A560" s="13"/>
      <c r="E560" s="10"/>
      <c r="F560" s="10"/>
      <c r="G560" s="10"/>
      <c r="H560" s="10"/>
      <c r="I560" s="10"/>
      <c r="J560" s="10"/>
      <c r="K560" s="10"/>
      <c r="L560" s="10"/>
      <c r="M560" s="31"/>
      <c r="N560" s="31"/>
      <c r="O560" s="31"/>
      <c r="P560" s="10"/>
      <c r="Q560" s="10"/>
      <c r="R560" s="10"/>
      <c r="S560" s="10"/>
      <c r="T560" s="10"/>
      <c r="U560" s="10"/>
      <c r="V560" s="10"/>
    </row>
    <row r="561" spans="1:22" x14ac:dyDescent="0.35">
      <c r="A561" s="13"/>
      <c r="E561" s="10"/>
      <c r="F561" s="10"/>
      <c r="G561" s="10"/>
      <c r="H561" s="10"/>
      <c r="I561" s="10"/>
      <c r="J561" s="10"/>
      <c r="K561" s="10"/>
      <c r="L561" s="10"/>
      <c r="M561" s="31"/>
      <c r="N561" s="31"/>
      <c r="O561" s="31"/>
      <c r="P561" s="10"/>
      <c r="Q561" s="10"/>
      <c r="R561" s="10"/>
      <c r="S561" s="10"/>
      <c r="T561" s="10"/>
      <c r="U561" s="10"/>
      <c r="V561" s="10"/>
    </row>
    <row r="562" spans="1:22" x14ac:dyDescent="0.35">
      <c r="A562" s="13"/>
      <c r="E562" s="10"/>
      <c r="F562" s="10"/>
      <c r="G562" s="10"/>
      <c r="H562" s="10"/>
      <c r="I562" s="10"/>
      <c r="J562" s="10"/>
      <c r="K562" s="10"/>
      <c r="L562" s="10"/>
      <c r="M562" s="31"/>
      <c r="N562" s="31"/>
      <c r="O562" s="31"/>
      <c r="P562" s="10"/>
      <c r="Q562" s="10"/>
      <c r="R562" s="10"/>
      <c r="S562" s="10"/>
      <c r="T562" s="10"/>
      <c r="U562" s="10"/>
      <c r="V562" s="10"/>
    </row>
    <row r="563" spans="1:22" x14ac:dyDescent="0.35">
      <c r="A563" s="13"/>
      <c r="E563" s="10"/>
      <c r="F563" s="10"/>
      <c r="G563" s="10"/>
      <c r="H563" s="10"/>
      <c r="I563" s="10"/>
      <c r="J563" s="10"/>
      <c r="K563" s="10"/>
      <c r="L563" s="10"/>
      <c r="M563" s="31"/>
      <c r="N563" s="31"/>
      <c r="O563" s="31"/>
      <c r="P563" s="10"/>
      <c r="Q563" s="10"/>
      <c r="R563" s="10"/>
      <c r="S563" s="10"/>
      <c r="T563" s="10"/>
      <c r="U563" s="10"/>
      <c r="V563" s="10"/>
    </row>
    <row r="564" spans="1:22" x14ac:dyDescent="0.35">
      <c r="A564" s="16"/>
      <c r="E564" s="17"/>
      <c r="F564" s="17"/>
      <c r="G564" s="17"/>
      <c r="H564" s="17"/>
      <c r="I564" s="17"/>
      <c r="J564" s="17"/>
      <c r="K564" s="17"/>
      <c r="L564" s="17"/>
      <c r="M564" s="34"/>
      <c r="N564" s="34"/>
      <c r="O564" s="34"/>
      <c r="P564" s="17"/>
      <c r="Q564" s="17"/>
      <c r="R564" s="17"/>
      <c r="S564" s="17"/>
      <c r="T564" s="17"/>
      <c r="U564" s="17"/>
      <c r="V564" s="17"/>
    </row>
    <row r="565" spans="1:22" x14ac:dyDescent="0.35">
      <c r="A565" s="13"/>
      <c r="E565" s="10"/>
      <c r="F565" s="10"/>
      <c r="G565" s="10"/>
      <c r="H565" s="10"/>
      <c r="I565" s="10"/>
      <c r="J565" s="10"/>
      <c r="K565" s="10"/>
      <c r="L565" s="10"/>
      <c r="M565" s="31"/>
      <c r="N565" s="31"/>
      <c r="O565" s="31"/>
      <c r="P565" s="10"/>
      <c r="Q565" s="10"/>
      <c r="R565" s="10"/>
      <c r="S565" s="10"/>
      <c r="T565" s="10"/>
      <c r="U565" s="10"/>
      <c r="V565" s="10"/>
    </row>
    <row r="566" spans="1:22" x14ac:dyDescent="0.35">
      <c r="A566" s="23"/>
      <c r="E566" s="21"/>
      <c r="F566" s="21"/>
      <c r="G566" s="21"/>
      <c r="H566" s="21"/>
      <c r="I566" s="21"/>
      <c r="J566" s="21"/>
      <c r="K566" s="21"/>
      <c r="L566" s="21"/>
      <c r="M566" s="36"/>
      <c r="N566" s="36"/>
      <c r="O566" s="36"/>
      <c r="P566" s="21"/>
      <c r="Q566" s="21"/>
      <c r="R566" s="21"/>
      <c r="S566" s="21"/>
      <c r="T566" s="21"/>
      <c r="U566" s="21"/>
      <c r="V566" s="21"/>
    </row>
    <row r="567" spans="1:22" x14ac:dyDescent="0.35">
      <c r="A567" s="13"/>
      <c r="E567" s="10"/>
      <c r="F567" s="10"/>
      <c r="G567" s="10"/>
      <c r="H567" s="10"/>
      <c r="I567" s="10"/>
      <c r="J567" s="10"/>
      <c r="K567" s="10"/>
      <c r="L567" s="10"/>
      <c r="M567" s="31"/>
      <c r="N567" s="31"/>
      <c r="O567" s="31"/>
      <c r="P567" s="10"/>
      <c r="Q567" s="10"/>
      <c r="R567" s="10"/>
      <c r="S567" s="10"/>
      <c r="T567" s="10"/>
      <c r="U567" s="10"/>
      <c r="V567" s="10"/>
    </row>
    <row r="568" spans="1:22" x14ac:dyDescent="0.35">
      <c r="A568" s="13"/>
      <c r="E568" s="10"/>
      <c r="F568" s="10"/>
      <c r="G568" s="10"/>
      <c r="H568" s="10"/>
      <c r="I568" s="10"/>
      <c r="J568" s="10"/>
      <c r="K568" s="10"/>
      <c r="L568" s="10"/>
      <c r="M568" s="31"/>
      <c r="N568" s="31"/>
      <c r="O568" s="31"/>
      <c r="P568" s="10"/>
      <c r="Q568" s="10"/>
      <c r="R568" s="10"/>
      <c r="S568" s="10"/>
      <c r="T568" s="10"/>
      <c r="U568" s="10"/>
      <c r="V568" s="10"/>
    </row>
    <row r="569" spans="1:22" x14ac:dyDescent="0.35">
      <c r="A569" s="13"/>
      <c r="E569" s="10"/>
      <c r="F569" s="10"/>
      <c r="G569" s="10"/>
      <c r="H569" s="10"/>
      <c r="I569" s="10"/>
      <c r="J569" s="10"/>
      <c r="K569" s="10"/>
      <c r="L569" s="10"/>
      <c r="M569" s="31"/>
      <c r="N569" s="31"/>
      <c r="O569" s="31"/>
      <c r="P569" s="10"/>
      <c r="Q569" s="10"/>
      <c r="R569" s="10"/>
      <c r="S569" s="10"/>
      <c r="T569" s="10"/>
      <c r="U569" s="10"/>
      <c r="V569" s="10"/>
    </row>
    <row r="570" spans="1:22" x14ac:dyDescent="0.35">
      <c r="A570" s="13"/>
      <c r="E570" s="10"/>
      <c r="F570" s="10"/>
      <c r="G570" s="10"/>
      <c r="H570" s="10"/>
      <c r="I570" s="10"/>
      <c r="J570" s="10"/>
      <c r="K570" s="10"/>
      <c r="L570" s="10"/>
      <c r="M570" s="31"/>
      <c r="N570" s="31"/>
      <c r="O570" s="31"/>
      <c r="P570" s="10"/>
      <c r="Q570" s="10"/>
      <c r="R570" s="10"/>
      <c r="S570" s="10"/>
      <c r="T570" s="10"/>
      <c r="U570" s="10"/>
      <c r="V570" s="10"/>
    </row>
    <row r="571" spans="1:22" x14ac:dyDescent="0.35">
      <c r="A571" s="16"/>
      <c r="E571" s="17"/>
      <c r="F571" s="17"/>
      <c r="G571" s="17"/>
      <c r="H571" s="17"/>
      <c r="I571" s="17"/>
      <c r="J571" s="17"/>
      <c r="K571" s="17"/>
      <c r="L571" s="17"/>
      <c r="M571" s="34"/>
      <c r="N571" s="34"/>
      <c r="O571" s="34"/>
      <c r="P571" s="17"/>
      <c r="Q571" s="17"/>
      <c r="R571" s="17"/>
      <c r="S571" s="17"/>
      <c r="T571" s="17"/>
      <c r="U571" s="17"/>
      <c r="V571" s="17"/>
    </row>
    <row r="572" spans="1:22" x14ac:dyDescent="0.35">
      <c r="A572" s="13"/>
      <c r="E572" s="10"/>
      <c r="F572" s="10"/>
      <c r="G572" s="10"/>
      <c r="H572" s="10"/>
      <c r="I572" s="10"/>
      <c r="J572" s="10"/>
      <c r="K572" s="10"/>
      <c r="L572" s="10"/>
      <c r="M572" s="31"/>
      <c r="N572" s="31"/>
      <c r="O572" s="31"/>
      <c r="P572" s="10"/>
      <c r="Q572" s="10"/>
      <c r="R572" s="10"/>
      <c r="S572" s="10"/>
      <c r="T572" s="10"/>
      <c r="U572" s="10"/>
      <c r="V572" s="10"/>
    </row>
    <row r="573" spans="1:22" x14ac:dyDescent="0.35">
      <c r="A573" s="13"/>
      <c r="E573" s="10"/>
      <c r="F573" s="10"/>
      <c r="G573" s="10"/>
      <c r="H573" s="10"/>
      <c r="I573" s="10"/>
      <c r="J573" s="10"/>
      <c r="K573" s="10"/>
      <c r="L573" s="10"/>
      <c r="M573" s="31"/>
      <c r="N573" s="31"/>
      <c r="O573" s="31"/>
      <c r="P573" s="10"/>
      <c r="Q573" s="10"/>
      <c r="R573" s="10"/>
      <c r="S573" s="10"/>
      <c r="T573" s="10"/>
      <c r="U573" s="10"/>
      <c r="V573" s="10"/>
    </row>
    <row r="574" spans="1:22" x14ac:dyDescent="0.35">
      <c r="A574" s="13"/>
      <c r="E574" s="10"/>
      <c r="F574" s="10"/>
      <c r="G574" s="10"/>
      <c r="H574" s="10"/>
      <c r="I574" s="10"/>
      <c r="J574" s="10"/>
      <c r="K574" s="10"/>
      <c r="L574" s="10"/>
      <c r="M574" s="31"/>
      <c r="N574" s="31"/>
      <c r="O574" s="31"/>
      <c r="P574" s="10"/>
      <c r="Q574" s="10"/>
      <c r="R574" s="10"/>
      <c r="S574" s="10"/>
      <c r="T574" s="10"/>
      <c r="U574" s="10"/>
      <c r="V574" s="10"/>
    </row>
    <row r="575" spans="1:22" x14ac:dyDescent="0.35">
      <c r="A575" s="13"/>
      <c r="E575" s="10"/>
      <c r="F575" s="10"/>
      <c r="G575" s="10"/>
      <c r="H575" s="10"/>
      <c r="I575" s="10"/>
      <c r="J575" s="10"/>
      <c r="K575" s="10"/>
      <c r="L575" s="10"/>
      <c r="M575" s="31"/>
      <c r="N575" s="31"/>
      <c r="O575" s="31"/>
      <c r="P575" s="10"/>
      <c r="Q575" s="10"/>
      <c r="R575" s="10"/>
      <c r="S575" s="10"/>
      <c r="T575" s="10"/>
      <c r="U575" s="10"/>
      <c r="V575" s="10"/>
    </row>
    <row r="576" spans="1:22" x14ac:dyDescent="0.35">
      <c r="A576" s="13"/>
      <c r="E576" s="10"/>
      <c r="F576" s="10"/>
      <c r="G576" s="10"/>
      <c r="H576" s="10"/>
      <c r="I576" s="10"/>
      <c r="J576" s="10"/>
      <c r="K576" s="10"/>
      <c r="L576" s="10"/>
      <c r="M576" s="31"/>
      <c r="N576" s="31"/>
      <c r="O576" s="31"/>
      <c r="P576" s="10"/>
      <c r="Q576" s="10"/>
      <c r="R576" s="10"/>
      <c r="S576" s="10"/>
      <c r="T576" s="10"/>
      <c r="U576" s="10"/>
      <c r="V576" s="10"/>
    </row>
    <row r="577" spans="1:22" x14ac:dyDescent="0.35">
      <c r="A577" s="13"/>
      <c r="E577" s="10"/>
      <c r="F577" s="10"/>
      <c r="G577" s="10"/>
      <c r="H577" s="10"/>
      <c r="I577" s="10"/>
      <c r="J577" s="10"/>
      <c r="K577" s="10"/>
      <c r="L577" s="10"/>
      <c r="M577" s="31"/>
      <c r="N577" s="31"/>
      <c r="O577" s="31"/>
      <c r="P577" s="10"/>
      <c r="Q577" s="10"/>
      <c r="R577" s="10"/>
      <c r="S577" s="10"/>
      <c r="T577" s="10"/>
      <c r="U577" s="10"/>
      <c r="V577" s="10"/>
    </row>
    <row r="578" spans="1:22" x14ac:dyDescent="0.35">
      <c r="A578" s="13"/>
      <c r="E578" s="10"/>
      <c r="F578" s="10"/>
      <c r="G578" s="10"/>
      <c r="H578" s="10"/>
      <c r="I578" s="10"/>
      <c r="J578" s="10"/>
      <c r="K578" s="10"/>
      <c r="L578" s="10"/>
      <c r="M578" s="31"/>
      <c r="N578" s="31"/>
      <c r="O578" s="31"/>
      <c r="P578" s="10"/>
      <c r="Q578" s="10"/>
      <c r="R578" s="10"/>
      <c r="S578" s="10"/>
      <c r="T578" s="10"/>
      <c r="U578" s="10"/>
      <c r="V578" s="10"/>
    </row>
    <row r="579" spans="1:22" x14ac:dyDescent="0.35">
      <c r="A579" s="13"/>
      <c r="E579" s="10"/>
      <c r="F579" s="10"/>
      <c r="G579" s="10"/>
      <c r="H579" s="10"/>
      <c r="I579" s="10"/>
      <c r="J579" s="10"/>
      <c r="K579" s="10"/>
      <c r="L579" s="10"/>
      <c r="M579" s="31"/>
      <c r="N579" s="31"/>
      <c r="O579" s="31"/>
      <c r="P579" s="10"/>
      <c r="Q579" s="10"/>
      <c r="R579" s="10"/>
      <c r="S579" s="10"/>
      <c r="T579" s="10"/>
      <c r="U579" s="10"/>
      <c r="V579" s="10"/>
    </row>
    <row r="580" spans="1:22" x14ac:dyDescent="0.35">
      <c r="A580" s="13"/>
      <c r="E580" s="10"/>
      <c r="F580" s="10"/>
      <c r="G580" s="10"/>
      <c r="H580" s="10"/>
      <c r="I580" s="10"/>
      <c r="J580" s="10"/>
      <c r="K580" s="10"/>
      <c r="L580" s="10"/>
      <c r="M580" s="31"/>
      <c r="N580" s="31"/>
      <c r="O580" s="31"/>
      <c r="P580" s="10"/>
      <c r="Q580" s="10"/>
      <c r="R580" s="10"/>
      <c r="S580" s="10"/>
      <c r="T580" s="10"/>
      <c r="U580" s="10"/>
      <c r="V580" s="10"/>
    </row>
    <row r="581" spans="1:22" x14ac:dyDescent="0.35">
      <c r="A581" s="13"/>
      <c r="E581" s="10"/>
      <c r="F581" s="10"/>
      <c r="G581" s="10"/>
      <c r="H581" s="10"/>
      <c r="I581" s="10"/>
      <c r="J581" s="10"/>
      <c r="K581" s="10"/>
      <c r="L581" s="10"/>
      <c r="M581" s="31"/>
      <c r="N581" s="31"/>
      <c r="O581" s="31"/>
      <c r="P581" s="10"/>
      <c r="Q581" s="10"/>
      <c r="R581" s="10"/>
      <c r="S581" s="10"/>
      <c r="T581" s="10"/>
      <c r="U581" s="10"/>
      <c r="V581" s="10"/>
    </row>
    <row r="582" spans="1:22" x14ac:dyDescent="0.35">
      <c r="A582" s="13"/>
      <c r="E582" s="10"/>
      <c r="F582" s="10"/>
      <c r="G582" s="10"/>
      <c r="H582" s="10"/>
      <c r="I582" s="10"/>
      <c r="J582" s="10"/>
      <c r="K582" s="10"/>
      <c r="L582" s="10"/>
      <c r="M582" s="31"/>
      <c r="N582" s="31"/>
      <c r="O582" s="31"/>
      <c r="P582" s="10"/>
      <c r="Q582" s="10"/>
      <c r="R582" s="10"/>
      <c r="S582" s="10"/>
      <c r="T582" s="10"/>
      <c r="U582" s="10"/>
      <c r="V582" s="10"/>
    </row>
    <row r="583" spans="1:22" x14ac:dyDescent="0.35">
      <c r="A583" s="13"/>
      <c r="E583" s="10"/>
      <c r="F583" s="10"/>
      <c r="G583" s="10"/>
      <c r="H583" s="10"/>
      <c r="I583" s="10"/>
      <c r="J583" s="10"/>
      <c r="K583" s="10"/>
      <c r="L583" s="10"/>
      <c r="M583" s="31"/>
      <c r="N583" s="31"/>
      <c r="O583" s="31"/>
      <c r="P583" s="10"/>
      <c r="Q583" s="10"/>
      <c r="R583" s="10"/>
      <c r="S583" s="10"/>
      <c r="T583" s="10"/>
      <c r="U583" s="10"/>
      <c r="V583" s="10"/>
    </row>
    <row r="584" spans="1:22" x14ac:dyDescent="0.35">
      <c r="A584" s="13"/>
      <c r="E584" s="10"/>
      <c r="F584" s="10"/>
      <c r="G584" s="10"/>
      <c r="H584" s="10"/>
      <c r="I584" s="10"/>
      <c r="J584" s="10"/>
      <c r="K584" s="10"/>
      <c r="L584" s="10"/>
      <c r="M584" s="31"/>
      <c r="N584" s="31"/>
      <c r="O584" s="31"/>
      <c r="P584" s="10"/>
      <c r="Q584" s="10"/>
      <c r="R584" s="10"/>
      <c r="S584" s="10"/>
      <c r="T584" s="10"/>
      <c r="U584" s="10"/>
      <c r="V584" s="10"/>
    </row>
    <row r="585" spans="1:22" x14ac:dyDescent="0.35">
      <c r="A585" s="13"/>
      <c r="E585" s="10"/>
      <c r="F585" s="10"/>
      <c r="G585" s="10"/>
      <c r="H585" s="10"/>
      <c r="I585" s="10"/>
      <c r="J585" s="10"/>
      <c r="K585" s="10"/>
      <c r="L585" s="10"/>
      <c r="M585" s="31"/>
      <c r="N585" s="31"/>
      <c r="O585" s="31"/>
      <c r="P585" s="10"/>
      <c r="Q585" s="10"/>
      <c r="R585" s="10"/>
      <c r="S585" s="10"/>
      <c r="T585" s="10"/>
      <c r="U585" s="10"/>
      <c r="V585" s="10"/>
    </row>
    <row r="586" spans="1:22" x14ac:dyDescent="0.35">
      <c r="A586" s="13"/>
      <c r="E586" s="10"/>
      <c r="F586" s="10"/>
      <c r="G586" s="10"/>
      <c r="H586" s="10"/>
      <c r="I586" s="10"/>
      <c r="J586" s="10"/>
      <c r="K586" s="10"/>
      <c r="L586" s="10"/>
      <c r="M586" s="31"/>
      <c r="N586" s="31"/>
      <c r="O586" s="31"/>
      <c r="P586" s="10"/>
      <c r="Q586" s="10"/>
      <c r="R586" s="10"/>
      <c r="S586" s="10"/>
      <c r="T586" s="10"/>
      <c r="U586" s="10"/>
      <c r="V586" s="10"/>
    </row>
    <row r="587" spans="1:22" x14ac:dyDescent="0.35">
      <c r="A587" s="13"/>
      <c r="E587" s="10"/>
      <c r="F587" s="10"/>
      <c r="G587" s="10"/>
      <c r="H587" s="10"/>
      <c r="I587" s="10"/>
      <c r="J587" s="10"/>
      <c r="K587" s="10"/>
      <c r="L587" s="10"/>
      <c r="M587" s="31"/>
      <c r="N587" s="31"/>
      <c r="O587" s="31"/>
      <c r="P587" s="10"/>
      <c r="Q587" s="10"/>
      <c r="R587" s="10"/>
      <c r="S587" s="10"/>
      <c r="T587" s="10"/>
      <c r="U587" s="10"/>
      <c r="V587" s="10"/>
    </row>
    <row r="588" spans="1:22" x14ac:dyDescent="0.35">
      <c r="A588" s="13"/>
      <c r="E588" s="10"/>
      <c r="F588" s="10"/>
      <c r="G588" s="10"/>
      <c r="H588" s="10"/>
      <c r="I588" s="10"/>
      <c r="J588" s="10"/>
      <c r="K588" s="10"/>
      <c r="L588" s="10"/>
      <c r="M588" s="31"/>
      <c r="N588" s="31"/>
      <c r="O588" s="31"/>
      <c r="P588" s="10"/>
      <c r="Q588" s="10"/>
      <c r="R588" s="10"/>
      <c r="S588" s="10"/>
      <c r="T588" s="10"/>
      <c r="U588" s="10"/>
      <c r="V588" s="10"/>
    </row>
    <row r="589" spans="1:22" x14ac:dyDescent="0.35">
      <c r="A589" s="13"/>
      <c r="E589" s="10"/>
      <c r="F589" s="10"/>
      <c r="G589" s="10"/>
      <c r="H589" s="10"/>
      <c r="I589" s="10"/>
      <c r="J589" s="10"/>
      <c r="K589" s="10"/>
      <c r="L589" s="10"/>
      <c r="M589" s="31"/>
      <c r="N589" s="31"/>
      <c r="O589" s="31"/>
      <c r="P589" s="10"/>
      <c r="Q589" s="10"/>
      <c r="R589" s="10"/>
      <c r="S589" s="10"/>
      <c r="T589" s="10"/>
      <c r="U589" s="10"/>
      <c r="V589" s="10"/>
    </row>
    <row r="590" spans="1:22" x14ac:dyDescent="0.35">
      <c r="A590" s="16"/>
      <c r="E590" s="17"/>
      <c r="F590" s="17"/>
      <c r="G590" s="17"/>
      <c r="H590" s="17"/>
      <c r="I590" s="17"/>
      <c r="J590" s="17"/>
      <c r="K590" s="17"/>
      <c r="L590" s="17"/>
      <c r="M590" s="34"/>
      <c r="N590" s="34"/>
      <c r="O590" s="34"/>
      <c r="P590" s="17"/>
      <c r="Q590" s="17"/>
      <c r="R590" s="17"/>
      <c r="S590" s="17"/>
      <c r="T590" s="17"/>
      <c r="U590" s="17"/>
      <c r="V590" s="17"/>
    </row>
    <row r="591" spans="1:22" x14ac:dyDescent="0.35">
      <c r="A591" s="13"/>
      <c r="E591" s="10"/>
      <c r="F591" s="10"/>
      <c r="G591" s="10"/>
      <c r="H591" s="10"/>
      <c r="I591" s="10"/>
      <c r="J591" s="10"/>
      <c r="K591" s="10"/>
      <c r="L591" s="10"/>
      <c r="M591" s="31"/>
      <c r="N591" s="31"/>
      <c r="O591" s="31"/>
      <c r="P591" s="10"/>
      <c r="Q591" s="10"/>
      <c r="R591" s="10"/>
      <c r="S591" s="10"/>
      <c r="T591" s="10"/>
      <c r="U591" s="10"/>
      <c r="V591" s="10"/>
    </row>
    <row r="592" spans="1:22" x14ac:dyDescent="0.35">
      <c r="A592" s="13"/>
      <c r="E592" s="10"/>
      <c r="F592" s="10"/>
      <c r="G592" s="10"/>
      <c r="H592" s="10"/>
      <c r="I592" s="10"/>
      <c r="J592" s="10"/>
      <c r="K592" s="10"/>
      <c r="L592" s="10"/>
      <c r="M592" s="31"/>
      <c r="N592" s="31"/>
      <c r="O592" s="31"/>
      <c r="P592" s="10"/>
      <c r="Q592" s="10"/>
      <c r="R592" s="10"/>
      <c r="S592" s="10"/>
      <c r="T592" s="10"/>
      <c r="U592" s="10"/>
      <c r="V592" s="10"/>
    </row>
    <row r="593" spans="1:22" x14ac:dyDescent="0.35">
      <c r="A593" s="13"/>
      <c r="E593" s="10"/>
      <c r="F593" s="10"/>
      <c r="G593" s="10"/>
      <c r="H593" s="10"/>
      <c r="I593" s="10"/>
      <c r="J593" s="10"/>
      <c r="K593" s="10"/>
      <c r="L593" s="10"/>
      <c r="M593" s="31"/>
      <c r="N593" s="31"/>
      <c r="O593" s="31"/>
      <c r="P593" s="10"/>
      <c r="Q593" s="10"/>
      <c r="R593" s="10"/>
      <c r="S593" s="10"/>
      <c r="T593" s="10"/>
      <c r="U593" s="10"/>
      <c r="V593" s="10"/>
    </row>
    <row r="594" spans="1:22" x14ac:dyDescent="0.35">
      <c r="A594" s="16"/>
      <c r="E594" s="17"/>
      <c r="F594" s="17"/>
      <c r="G594" s="17"/>
      <c r="H594" s="17"/>
      <c r="I594" s="17"/>
      <c r="J594" s="17"/>
      <c r="K594" s="17"/>
      <c r="L594" s="17"/>
      <c r="M594" s="34"/>
      <c r="N594" s="34"/>
      <c r="O594" s="34"/>
      <c r="P594" s="17"/>
      <c r="Q594" s="17"/>
      <c r="R594" s="17"/>
      <c r="S594" s="17"/>
      <c r="T594" s="17"/>
      <c r="U594" s="17"/>
      <c r="V594" s="17"/>
    </row>
    <row r="595" spans="1:22" x14ac:dyDescent="0.35">
      <c r="A595" s="13"/>
      <c r="E595" s="10"/>
      <c r="F595" s="10"/>
      <c r="G595" s="10"/>
      <c r="H595" s="10"/>
      <c r="I595" s="10"/>
      <c r="J595" s="10"/>
      <c r="K595" s="10"/>
      <c r="L595" s="10"/>
      <c r="M595" s="31"/>
      <c r="N595" s="31"/>
      <c r="O595" s="31"/>
      <c r="P595" s="10"/>
      <c r="Q595" s="10"/>
      <c r="R595" s="10"/>
      <c r="S595" s="10"/>
      <c r="T595" s="10"/>
      <c r="U595" s="10"/>
      <c r="V595" s="10"/>
    </row>
    <row r="596" spans="1:22" x14ac:dyDescent="0.35">
      <c r="A596" s="13"/>
      <c r="E596" s="10"/>
      <c r="F596" s="10"/>
      <c r="G596" s="10"/>
      <c r="H596" s="10"/>
      <c r="I596" s="10"/>
      <c r="J596" s="10"/>
      <c r="K596" s="10"/>
      <c r="L596" s="10"/>
      <c r="M596" s="31"/>
      <c r="N596" s="31"/>
      <c r="O596" s="31"/>
      <c r="P596" s="10"/>
      <c r="Q596" s="10"/>
      <c r="R596" s="10"/>
      <c r="S596" s="10"/>
      <c r="T596" s="10"/>
      <c r="U596" s="10"/>
      <c r="V596" s="10"/>
    </row>
    <row r="597" spans="1:22" x14ac:dyDescent="0.35">
      <c r="A597" s="16"/>
      <c r="E597" s="17"/>
      <c r="F597" s="17"/>
      <c r="G597" s="17"/>
      <c r="H597" s="17"/>
      <c r="I597" s="17"/>
      <c r="J597" s="17"/>
      <c r="K597" s="17"/>
      <c r="L597" s="17"/>
      <c r="M597" s="34"/>
      <c r="N597" s="34"/>
      <c r="O597" s="34"/>
      <c r="P597" s="17"/>
      <c r="Q597" s="17"/>
      <c r="R597" s="17"/>
      <c r="S597" s="17"/>
      <c r="T597" s="17"/>
      <c r="U597" s="17"/>
      <c r="V597" s="17"/>
    </row>
    <row r="598" spans="1:22" x14ac:dyDescent="0.35">
      <c r="A598" s="16"/>
      <c r="E598" s="17"/>
      <c r="F598" s="17"/>
      <c r="G598" s="17"/>
      <c r="H598" s="17"/>
      <c r="I598" s="17"/>
      <c r="J598" s="17"/>
      <c r="K598" s="17"/>
      <c r="L598" s="17"/>
      <c r="M598" s="34"/>
      <c r="N598" s="34"/>
      <c r="O598" s="34"/>
      <c r="P598" s="17"/>
      <c r="Q598" s="17"/>
      <c r="R598" s="17"/>
      <c r="S598" s="17"/>
      <c r="T598" s="17"/>
      <c r="U598" s="17"/>
      <c r="V598" s="17"/>
    </row>
    <row r="599" spans="1:22" x14ac:dyDescent="0.35">
      <c r="A599" s="13"/>
      <c r="E599" s="10"/>
      <c r="F599" s="10"/>
      <c r="G599" s="10"/>
      <c r="H599" s="10"/>
      <c r="I599" s="10"/>
      <c r="J599" s="10"/>
      <c r="K599" s="10"/>
      <c r="L599" s="10"/>
      <c r="M599" s="31"/>
      <c r="N599" s="31"/>
      <c r="O599" s="31"/>
      <c r="P599" s="10"/>
      <c r="Q599" s="10"/>
      <c r="R599" s="10"/>
      <c r="S599" s="10"/>
      <c r="T599" s="10"/>
      <c r="U599" s="10"/>
      <c r="V599" s="10"/>
    </row>
    <row r="600" spans="1:22" x14ac:dyDescent="0.35">
      <c r="A600" s="13"/>
      <c r="E600" s="10"/>
      <c r="F600" s="10"/>
      <c r="G600" s="10"/>
      <c r="H600" s="10"/>
      <c r="I600" s="10"/>
      <c r="J600" s="10"/>
      <c r="K600" s="10"/>
      <c r="L600" s="10"/>
      <c r="M600" s="31"/>
      <c r="N600" s="31"/>
      <c r="O600" s="31"/>
      <c r="P600" s="10"/>
      <c r="Q600" s="10"/>
      <c r="R600" s="10"/>
      <c r="S600" s="10"/>
      <c r="T600" s="10"/>
      <c r="U600" s="10"/>
      <c r="V600" s="10"/>
    </row>
    <row r="601" spans="1:22" x14ac:dyDescent="0.35">
      <c r="A601" s="13"/>
      <c r="E601" s="10"/>
      <c r="F601" s="10"/>
      <c r="G601" s="10"/>
      <c r="H601" s="10"/>
      <c r="I601" s="10"/>
      <c r="J601" s="10"/>
      <c r="K601" s="10"/>
      <c r="L601" s="10"/>
      <c r="M601" s="31"/>
      <c r="N601" s="31"/>
      <c r="O601" s="31"/>
      <c r="P601" s="10"/>
      <c r="Q601" s="10"/>
      <c r="R601" s="10"/>
      <c r="S601" s="10"/>
      <c r="T601" s="10"/>
      <c r="U601" s="10"/>
      <c r="V601" s="10"/>
    </row>
    <row r="602" spans="1:22" x14ac:dyDescent="0.35">
      <c r="A602" s="13"/>
      <c r="E602" s="10"/>
      <c r="F602" s="10"/>
      <c r="G602" s="10"/>
      <c r="H602" s="10"/>
      <c r="I602" s="10"/>
      <c r="J602" s="10"/>
      <c r="K602" s="10"/>
      <c r="L602" s="10"/>
      <c r="M602" s="31"/>
      <c r="N602" s="31"/>
      <c r="O602" s="31"/>
      <c r="P602" s="10"/>
      <c r="Q602" s="10"/>
      <c r="R602" s="10"/>
      <c r="S602" s="10"/>
      <c r="T602" s="10"/>
      <c r="U602" s="10"/>
      <c r="V602" s="10"/>
    </row>
    <row r="603" spans="1:22" x14ac:dyDescent="0.35">
      <c r="A603" s="16"/>
      <c r="E603" s="17"/>
      <c r="F603" s="17"/>
      <c r="G603" s="17"/>
      <c r="H603" s="17"/>
      <c r="I603" s="17"/>
      <c r="J603" s="17"/>
      <c r="K603" s="17"/>
      <c r="L603" s="17"/>
      <c r="M603" s="34"/>
      <c r="N603" s="34"/>
      <c r="O603" s="34"/>
      <c r="P603" s="17"/>
      <c r="Q603" s="17"/>
      <c r="R603" s="17"/>
      <c r="S603" s="17"/>
      <c r="T603" s="17"/>
      <c r="U603" s="17"/>
      <c r="V603" s="17"/>
    </row>
    <row r="604" spans="1:22" x14ac:dyDescent="0.35">
      <c r="A604" s="13"/>
      <c r="E604" s="10"/>
      <c r="F604" s="10"/>
      <c r="G604" s="10"/>
      <c r="H604" s="10"/>
      <c r="I604" s="10"/>
      <c r="J604" s="10"/>
      <c r="K604" s="10"/>
      <c r="L604" s="10"/>
      <c r="M604" s="31"/>
      <c r="N604" s="31"/>
      <c r="O604" s="31"/>
      <c r="P604" s="10"/>
      <c r="Q604" s="10"/>
      <c r="R604" s="10"/>
      <c r="S604" s="10"/>
      <c r="T604" s="10"/>
      <c r="U604" s="10"/>
      <c r="V604" s="10"/>
    </row>
    <row r="605" spans="1:22" x14ac:dyDescent="0.35">
      <c r="A605" s="13"/>
      <c r="E605" s="10"/>
      <c r="F605" s="10"/>
      <c r="G605" s="10"/>
      <c r="H605" s="10"/>
      <c r="I605" s="10"/>
      <c r="J605" s="10"/>
      <c r="K605" s="10"/>
      <c r="L605" s="10"/>
      <c r="M605" s="31"/>
      <c r="N605" s="31"/>
      <c r="O605" s="31"/>
      <c r="P605" s="10"/>
      <c r="Q605" s="10"/>
      <c r="R605" s="10"/>
      <c r="S605" s="10"/>
      <c r="T605" s="10"/>
      <c r="U605" s="10"/>
      <c r="V605" s="10"/>
    </row>
    <row r="606" spans="1:22" x14ac:dyDescent="0.35">
      <c r="A606" s="13"/>
      <c r="E606" s="10"/>
      <c r="F606" s="10"/>
      <c r="G606" s="10"/>
      <c r="H606" s="10"/>
      <c r="I606" s="10"/>
      <c r="J606" s="10"/>
      <c r="K606" s="10"/>
      <c r="L606" s="10"/>
      <c r="M606" s="31"/>
      <c r="N606" s="31"/>
      <c r="O606" s="31"/>
      <c r="P606" s="10"/>
      <c r="Q606" s="10"/>
      <c r="R606" s="10"/>
      <c r="S606" s="10"/>
      <c r="T606" s="10"/>
      <c r="U606" s="10"/>
      <c r="V606" s="10"/>
    </row>
    <row r="607" spans="1:22" x14ac:dyDescent="0.35">
      <c r="A607" s="16"/>
      <c r="E607" s="17"/>
      <c r="F607" s="17"/>
      <c r="G607" s="17"/>
      <c r="H607" s="17"/>
      <c r="I607" s="17"/>
      <c r="J607" s="17"/>
      <c r="K607" s="17"/>
      <c r="L607" s="17"/>
      <c r="M607" s="34"/>
      <c r="N607" s="34"/>
      <c r="O607" s="34"/>
      <c r="P607" s="17"/>
      <c r="Q607" s="17"/>
      <c r="R607" s="17"/>
      <c r="S607" s="17"/>
      <c r="T607" s="17"/>
      <c r="U607" s="17"/>
      <c r="V607" s="17"/>
    </row>
    <row r="608" spans="1:22" x14ac:dyDescent="0.35">
      <c r="A608" s="13"/>
      <c r="E608" s="10"/>
      <c r="F608" s="10"/>
      <c r="G608" s="10"/>
      <c r="H608" s="10"/>
      <c r="I608" s="10"/>
      <c r="J608" s="10"/>
      <c r="K608" s="10"/>
      <c r="L608" s="10"/>
      <c r="M608" s="31"/>
      <c r="N608" s="31"/>
      <c r="O608" s="31"/>
      <c r="P608" s="10"/>
      <c r="Q608" s="10"/>
      <c r="R608" s="10"/>
      <c r="S608" s="10"/>
      <c r="T608" s="10"/>
      <c r="U608" s="10"/>
      <c r="V608" s="10"/>
    </row>
    <row r="609" spans="1:22" x14ac:dyDescent="0.35">
      <c r="A609" s="16"/>
      <c r="E609" s="17"/>
      <c r="F609" s="17"/>
      <c r="G609" s="17"/>
      <c r="H609" s="17"/>
      <c r="I609" s="17"/>
      <c r="J609" s="17"/>
      <c r="K609" s="17"/>
      <c r="L609" s="17"/>
      <c r="M609" s="34"/>
      <c r="N609" s="34"/>
      <c r="O609" s="34"/>
      <c r="P609" s="17"/>
      <c r="Q609" s="17"/>
      <c r="R609" s="17"/>
      <c r="S609" s="17"/>
      <c r="T609" s="17"/>
      <c r="U609" s="17"/>
      <c r="V609" s="17"/>
    </row>
    <row r="610" spans="1:22" x14ac:dyDescent="0.35">
      <c r="A610" s="13"/>
      <c r="E610" s="10"/>
      <c r="F610" s="10"/>
      <c r="G610" s="10"/>
      <c r="H610" s="10"/>
      <c r="I610" s="10"/>
      <c r="J610" s="10"/>
      <c r="K610" s="10"/>
      <c r="L610" s="10"/>
      <c r="M610" s="31"/>
      <c r="N610" s="31"/>
      <c r="O610" s="31"/>
      <c r="P610" s="10"/>
      <c r="Q610" s="10"/>
      <c r="R610" s="10"/>
      <c r="S610" s="10"/>
      <c r="T610" s="10"/>
      <c r="U610" s="10"/>
      <c r="V610" s="10"/>
    </row>
    <row r="611" spans="1:22" x14ac:dyDescent="0.35">
      <c r="A611" s="20"/>
      <c r="E611" s="15"/>
      <c r="F611" s="15"/>
      <c r="G611" s="15"/>
      <c r="H611" s="15"/>
      <c r="I611" s="15"/>
      <c r="J611" s="15"/>
      <c r="K611" s="15"/>
      <c r="L611" s="15"/>
      <c r="M611" s="34"/>
      <c r="N611" s="34"/>
      <c r="O611" s="34"/>
      <c r="P611" s="15"/>
      <c r="Q611" s="15"/>
      <c r="R611" s="15"/>
      <c r="S611" s="15"/>
      <c r="T611" s="15"/>
      <c r="U611" s="15"/>
      <c r="V611" s="15"/>
    </row>
    <row r="612" spans="1:22" x14ac:dyDescent="0.35">
      <c r="A612" s="13"/>
      <c r="E612" s="10"/>
      <c r="F612" s="10"/>
      <c r="G612" s="10"/>
      <c r="H612" s="10"/>
      <c r="I612" s="10"/>
      <c r="J612" s="10"/>
      <c r="K612" s="10"/>
      <c r="L612" s="10"/>
      <c r="M612" s="31"/>
      <c r="N612" s="31"/>
      <c r="O612" s="31"/>
      <c r="P612" s="10"/>
      <c r="Q612" s="10"/>
      <c r="R612" s="10"/>
      <c r="S612" s="10"/>
      <c r="T612" s="10"/>
      <c r="U612" s="10"/>
      <c r="V612" s="10"/>
    </row>
    <row r="613" spans="1:22" x14ac:dyDescent="0.35">
      <c r="A613" s="16"/>
      <c r="E613" s="17"/>
      <c r="F613" s="17"/>
      <c r="G613" s="17"/>
      <c r="H613" s="17"/>
      <c r="I613" s="17"/>
      <c r="J613" s="17"/>
      <c r="K613" s="17"/>
      <c r="L613" s="17"/>
      <c r="M613" s="34"/>
      <c r="N613" s="34"/>
      <c r="O613" s="34"/>
      <c r="P613" s="17"/>
      <c r="Q613" s="17"/>
      <c r="R613" s="17"/>
      <c r="S613" s="17"/>
      <c r="T613" s="17"/>
      <c r="U613" s="17"/>
      <c r="V613" s="17"/>
    </row>
    <row r="614" spans="1:22" x14ac:dyDescent="0.35">
      <c r="A614" s="13"/>
      <c r="E614" s="10"/>
      <c r="F614" s="10"/>
      <c r="G614" s="10"/>
      <c r="H614" s="10"/>
      <c r="I614" s="10"/>
      <c r="J614" s="10"/>
      <c r="K614" s="10"/>
      <c r="L614" s="10"/>
      <c r="M614" s="31"/>
      <c r="N614" s="31"/>
      <c r="O614" s="31"/>
      <c r="P614" s="10"/>
      <c r="Q614" s="10"/>
      <c r="R614" s="10"/>
      <c r="S614" s="10"/>
      <c r="T614" s="10"/>
      <c r="U614" s="10"/>
      <c r="V614" s="10"/>
    </row>
    <row r="615" spans="1:22" x14ac:dyDescent="0.35">
      <c r="A615" s="13"/>
      <c r="E615" s="10"/>
      <c r="F615" s="10"/>
      <c r="G615" s="10"/>
      <c r="H615" s="10"/>
      <c r="I615" s="10"/>
      <c r="J615" s="10"/>
      <c r="K615" s="10"/>
      <c r="L615" s="10"/>
      <c r="M615" s="31"/>
      <c r="N615" s="31"/>
      <c r="O615" s="31"/>
      <c r="P615" s="10"/>
      <c r="Q615" s="10"/>
      <c r="R615" s="10"/>
      <c r="S615" s="10"/>
      <c r="T615" s="10"/>
      <c r="U615" s="10"/>
      <c r="V615" s="10"/>
    </row>
    <row r="616" spans="1:22" x14ac:dyDescent="0.35">
      <c r="A616" s="13"/>
      <c r="E616" s="10"/>
      <c r="F616" s="10"/>
      <c r="G616" s="10"/>
      <c r="H616" s="10"/>
      <c r="I616" s="10"/>
      <c r="J616" s="10"/>
      <c r="K616" s="10"/>
      <c r="L616" s="10"/>
      <c r="M616" s="31"/>
      <c r="N616" s="31"/>
      <c r="O616" s="31"/>
      <c r="P616" s="10"/>
      <c r="Q616" s="10"/>
      <c r="R616" s="10"/>
      <c r="S616" s="10"/>
      <c r="T616" s="10"/>
      <c r="U616" s="10"/>
      <c r="V616" s="10"/>
    </row>
    <row r="617" spans="1:22" x14ac:dyDescent="0.35">
      <c r="A617" s="13"/>
      <c r="E617" s="10"/>
      <c r="F617" s="10"/>
      <c r="G617" s="10"/>
      <c r="H617" s="10"/>
      <c r="I617" s="10"/>
      <c r="J617" s="10"/>
      <c r="K617" s="10"/>
      <c r="L617" s="10"/>
      <c r="M617" s="31"/>
      <c r="N617" s="31"/>
      <c r="O617" s="31"/>
      <c r="P617" s="10"/>
      <c r="Q617" s="10"/>
      <c r="R617" s="10"/>
      <c r="S617" s="10"/>
      <c r="T617" s="10"/>
      <c r="U617" s="10"/>
      <c r="V617" s="10"/>
    </row>
    <row r="618" spans="1:22" x14ac:dyDescent="0.35">
      <c r="A618" s="13"/>
      <c r="E618" s="10"/>
      <c r="F618" s="10"/>
      <c r="G618" s="10"/>
      <c r="H618" s="10"/>
      <c r="I618" s="10"/>
      <c r="J618" s="10"/>
      <c r="K618" s="10"/>
      <c r="L618" s="10"/>
      <c r="M618" s="31"/>
      <c r="N618" s="31"/>
      <c r="O618" s="31"/>
      <c r="P618" s="10"/>
      <c r="Q618" s="10"/>
      <c r="R618" s="10"/>
      <c r="S618" s="10"/>
      <c r="T618" s="10"/>
      <c r="U618" s="10"/>
      <c r="V618" s="10"/>
    </row>
    <row r="619" spans="1:22" x14ac:dyDescent="0.35">
      <c r="A619" s="13"/>
      <c r="E619" s="10"/>
      <c r="F619" s="10"/>
      <c r="G619" s="10"/>
      <c r="H619" s="10"/>
      <c r="I619" s="10"/>
      <c r="J619" s="10"/>
      <c r="K619" s="10"/>
      <c r="L619" s="10"/>
      <c r="M619" s="31"/>
      <c r="N619" s="31"/>
      <c r="O619" s="31"/>
      <c r="P619" s="10"/>
      <c r="Q619" s="10"/>
      <c r="R619" s="10"/>
      <c r="S619" s="10"/>
      <c r="T619" s="10"/>
      <c r="U619" s="10"/>
      <c r="V619" s="10"/>
    </row>
    <row r="620" spans="1:22" x14ac:dyDescent="0.35">
      <c r="A620" s="13"/>
      <c r="E620" s="10"/>
      <c r="F620" s="10"/>
      <c r="G620" s="10"/>
      <c r="H620" s="10"/>
      <c r="I620" s="10"/>
      <c r="J620" s="10"/>
      <c r="K620" s="10"/>
      <c r="L620" s="10"/>
      <c r="M620" s="31"/>
      <c r="N620" s="31"/>
      <c r="O620" s="31"/>
      <c r="P620" s="10"/>
      <c r="Q620" s="10"/>
      <c r="R620" s="10"/>
      <c r="S620" s="10"/>
      <c r="T620" s="10"/>
      <c r="U620" s="10"/>
      <c r="V620" s="10"/>
    </row>
    <row r="621" spans="1:22" x14ac:dyDescent="0.35">
      <c r="A621" s="13"/>
      <c r="E621" s="10"/>
      <c r="F621" s="10"/>
      <c r="G621" s="10"/>
      <c r="H621" s="10"/>
      <c r="I621" s="10"/>
      <c r="J621" s="10"/>
      <c r="K621" s="10"/>
      <c r="L621" s="10"/>
      <c r="M621" s="31"/>
      <c r="N621" s="31"/>
      <c r="O621" s="31"/>
      <c r="P621" s="10"/>
      <c r="Q621" s="10"/>
      <c r="R621" s="10"/>
      <c r="S621" s="10"/>
      <c r="T621" s="10"/>
      <c r="U621" s="10"/>
      <c r="V621" s="10"/>
    </row>
    <row r="622" spans="1:22" x14ac:dyDescent="0.35">
      <c r="A622" s="16"/>
      <c r="E622" s="17"/>
      <c r="F622" s="17"/>
      <c r="G622" s="17"/>
      <c r="H622" s="17"/>
      <c r="I622" s="17"/>
      <c r="J622" s="17"/>
      <c r="K622" s="17"/>
      <c r="L622" s="17"/>
      <c r="M622" s="34"/>
      <c r="N622" s="34"/>
      <c r="O622" s="34"/>
      <c r="P622" s="17"/>
      <c r="Q622" s="17"/>
      <c r="R622" s="17"/>
      <c r="S622" s="17"/>
      <c r="T622" s="17"/>
      <c r="U622" s="17"/>
      <c r="V622" s="17"/>
    </row>
    <row r="623" spans="1:22" x14ac:dyDescent="0.35">
      <c r="A623" s="16"/>
      <c r="E623" s="17"/>
      <c r="F623" s="17"/>
      <c r="G623" s="17"/>
      <c r="H623" s="17"/>
      <c r="I623" s="17"/>
      <c r="J623" s="17"/>
      <c r="K623" s="17"/>
      <c r="L623" s="17"/>
      <c r="M623" s="34"/>
      <c r="N623" s="34"/>
      <c r="O623" s="34"/>
      <c r="P623" s="17"/>
      <c r="Q623" s="17"/>
      <c r="R623" s="17"/>
      <c r="S623" s="17"/>
      <c r="T623" s="17"/>
      <c r="U623" s="17"/>
      <c r="V623" s="17"/>
    </row>
    <row r="624" spans="1:22" x14ac:dyDescent="0.35">
      <c r="A624" s="16"/>
      <c r="E624" s="17"/>
      <c r="F624" s="17"/>
      <c r="G624" s="17"/>
      <c r="H624" s="17"/>
      <c r="I624" s="17"/>
      <c r="J624" s="17"/>
      <c r="K624" s="17"/>
      <c r="L624" s="17"/>
      <c r="M624" s="34"/>
      <c r="N624" s="34"/>
      <c r="O624" s="34"/>
      <c r="P624" s="17"/>
      <c r="Q624" s="17"/>
      <c r="R624" s="17"/>
      <c r="S624" s="17"/>
      <c r="T624" s="17"/>
      <c r="U624" s="17"/>
      <c r="V624" s="17"/>
    </row>
    <row r="625" spans="1:22" x14ac:dyDescent="0.35">
      <c r="A625" s="16"/>
      <c r="E625" s="17"/>
      <c r="F625" s="17"/>
      <c r="G625" s="17"/>
      <c r="H625" s="17"/>
      <c r="I625" s="17"/>
      <c r="J625" s="17"/>
      <c r="K625" s="17"/>
      <c r="L625" s="17"/>
      <c r="M625" s="34"/>
      <c r="N625" s="34"/>
      <c r="O625" s="34"/>
      <c r="P625" s="17"/>
      <c r="Q625" s="17"/>
      <c r="R625" s="17"/>
      <c r="S625" s="17"/>
      <c r="T625" s="17"/>
      <c r="U625" s="17"/>
      <c r="V625" s="17"/>
    </row>
    <row r="626" spans="1:22" x14ac:dyDescent="0.35">
      <c r="A626" s="16"/>
      <c r="E626" s="17"/>
      <c r="F626" s="17"/>
      <c r="G626" s="17"/>
      <c r="H626" s="17"/>
      <c r="I626" s="17"/>
      <c r="J626" s="17"/>
      <c r="K626" s="17"/>
      <c r="L626" s="17"/>
      <c r="M626" s="34"/>
      <c r="N626" s="34"/>
      <c r="O626" s="34"/>
      <c r="P626" s="17"/>
      <c r="Q626" s="17"/>
      <c r="R626" s="17"/>
      <c r="S626" s="17"/>
      <c r="T626" s="17"/>
      <c r="U626" s="17"/>
      <c r="V626" s="17"/>
    </row>
    <row r="627" spans="1:22" x14ac:dyDescent="0.35">
      <c r="A627" s="16"/>
      <c r="E627" s="17"/>
      <c r="F627" s="17"/>
      <c r="G627" s="17"/>
      <c r="H627" s="17"/>
      <c r="I627" s="17"/>
      <c r="J627" s="17"/>
      <c r="K627" s="17"/>
      <c r="L627" s="17"/>
      <c r="M627" s="34"/>
      <c r="N627" s="34"/>
      <c r="O627" s="34"/>
      <c r="P627" s="17"/>
      <c r="Q627" s="17"/>
      <c r="R627" s="17"/>
      <c r="S627" s="17"/>
      <c r="T627" s="17"/>
      <c r="U627" s="17"/>
      <c r="V627" s="17"/>
    </row>
    <row r="628" spans="1:22" x14ac:dyDescent="0.35">
      <c r="A628" s="16"/>
      <c r="E628" s="17"/>
      <c r="F628" s="17"/>
      <c r="G628" s="17"/>
      <c r="H628" s="17"/>
      <c r="I628" s="17"/>
      <c r="J628" s="17"/>
      <c r="K628" s="17"/>
      <c r="L628" s="17"/>
      <c r="M628" s="34"/>
      <c r="N628" s="34"/>
      <c r="O628" s="34"/>
      <c r="P628" s="17"/>
      <c r="Q628" s="17"/>
      <c r="R628" s="17"/>
      <c r="S628" s="17"/>
      <c r="T628" s="17"/>
      <c r="U628" s="17"/>
      <c r="V628" s="17"/>
    </row>
    <row r="629" spans="1:22" x14ac:dyDescent="0.35">
      <c r="A629" s="16"/>
      <c r="E629" s="17"/>
      <c r="F629" s="17"/>
      <c r="G629" s="17"/>
      <c r="H629" s="17"/>
      <c r="I629" s="17"/>
      <c r="J629" s="17"/>
      <c r="K629" s="17"/>
      <c r="L629" s="17"/>
      <c r="M629" s="34"/>
      <c r="N629" s="34"/>
      <c r="O629" s="34"/>
      <c r="P629" s="17"/>
      <c r="Q629" s="17"/>
      <c r="R629" s="17"/>
      <c r="S629" s="17"/>
      <c r="T629" s="17"/>
      <c r="U629" s="17"/>
      <c r="V629" s="17"/>
    </row>
    <row r="630" spans="1:22" x14ac:dyDescent="0.35">
      <c r="A630" s="16"/>
      <c r="E630" s="17"/>
      <c r="F630" s="17"/>
      <c r="G630" s="17"/>
      <c r="H630" s="17"/>
      <c r="I630" s="17"/>
      <c r="J630" s="17"/>
      <c r="K630" s="17"/>
      <c r="L630" s="17"/>
      <c r="M630" s="34"/>
      <c r="N630" s="34"/>
      <c r="O630" s="34"/>
      <c r="P630" s="17"/>
      <c r="Q630" s="17"/>
      <c r="R630" s="17"/>
      <c r="S630" s="17"/>
      <c r="T630" s="17"/>
      <c r="U630" s="17"/>
      <c r="V630" s="17"/>
    </row>
    <row r="631" spans="1:22" x14ac:dyDescent="0.35">
      <c r="A631" s="16"/>
      <c r="E631" s="17"/>
      <c r="F631" s="17"/>
      <c r="G631" s="17"/>
      <c r="H631" s="17"/>
      <c r="I631" s="17"/>
      <c r="J631" s="17"/>
      <c r="K631" s="17"/>
      <c r="L631" s="17"/>
      <c r="M631" s="34"/>
      <c r="N631" s="34"/>
      <c r="O631" s="34"/>
      <c r="P631" s="17"/>
      <c r="Q631" s="17"/>
      <c r="R631" s="17"/>
      <c r="S631" s="17"/>
      <c r="T631" s="17"/>
      <c r="U631" s="17"/>
      <c r="V631" s="17"/>
    </row>
    <row r="632" spans="1:22" x14ac:dyDescent="0.35">
      <c r="A632" s="16"/>
      <c r="E632" s="17"/>
      <c r="F632" s="17"/>
      <c r="G632" s="17"/>
      <c r="H632" s="17"/>
      <c r="I632" s="17"/>
      <c r="J632" s="17"/>
      <c r="K632" s="17"/>
      <c r="L632" s="17"/>
      <c r="M632" s="34"/>
      <c r="N632" s="34"/>
      <c r="O632" s="34"/>
      <c r="P632" s="17"/>
      <c r="Q632" s="17"/>
      <c r="R632" s="17"/>
      <c r="S632" s="17"/>
      <c r="T632" s="17"/>
      <c r="U632" s="17"/>
      <c r="V632" s="17"/>
    </row>
    <row r="633" spans="1:22" x14ac:dyDescent="0.35">
      <c r="A633" s="16"/>
      <c r="E633" s="17"/>
      <c r="F633" s="17"/>
      <c r="G633" s="17"/>
      <c r="H633" s="17"/>
      <c r="I633" s="17"/>
      <c r="J633" s="17"/>
      <c r="K633" s="17"/>
      <c r="L633" s="17"/>
      <c r="M633" s="34"/>
      <c r="N633" s="34"/>
      <c r="O633" s="34"/>
      <c r="P633" s="17"/>
      <c r="Q633" s="17"/>
      <c r="R633" s="17"/>
      <c r="S633" s="17"/>
      <c r="T633" s="17"/>
      <c r="U633" s="17"/>
      <c r="V633" s="17"/>
    </row>
    <row r="634" spans="1:22" x14ac:dyDescent="0.35">
      <c r="A634" s="16"/>
      <c r="E634" s="17"/>
      <c r="F634" s="17"/>
      <c r="G634" s="17"/>
      <c r="H634" s="17"/>
      <c r="I634" s="17"/>
      <c r="J634" s="17"/>
      <c r="K634" s="17"/>
      <c r="L634" s="17"/>
      <c r="M634" s="34"/>
      <c r="N634" s="34"/>
      <c r="O634" s="34"/>
      <c r="P634" s="17"/>
      <c r="Q634" s="17"/>
      <c r="R634" s="17"/>
      <c r="S634" s="17"/>
      <c r="T634" s="17"/>
      <c r="U634" s="17"/>
      <c r="V634" s="17"/>
    </row>
    <row r="635" spans="1:22" x14ac:dyDescent="0.35">
      <c r="A635" s="16"/>
      <c r="E635" s="17"/>
      <c r="F635" s="17"/>
      <c r="G635" s="17"/>
      <c r="H635" s="17"/>
      <c r="I635" s="17"/>
      <c r="J635" s="17"/>
      <c r="K635" s="17"/>
      <c r="L635" s="17"/>
      <c r="M635" s="34"/>
      <c r="N635" s="34"/>
      <c r="O635" s="34"/>
      <c r="P635" s="17"/>
      <c r="Q635" s="17"/>
      <c r="R635" s="17"/>
      <c r="S635" s="17"/>
      <c r="T635" s="17"/>
      <c r="U635" s="17"/>
      <c r="V635" s="17"/>
    </row>
    <row r="636" spans="1:22" x14ac:dyDescent="0.35">
      <c r="A636" s="16"/>
      <c r="E636" s="17"/>
      <c r="F636" s="17"/>
      <c r="G636" s="17"/>
      <c r="H636" s="17"/>
      <c r="I636" s="17"/>
      <c r="J636" s="17"/>
      <c r="K636" s="17"/>
      <c r="L636" s="17"/>
      <c r="M636" s="34"/>
      <c r="N636" s="34"/>
      <c r="O636" s="34"/>
      <c r="P636" s="17"/>
      <c r="Q636" s="17"/>
      <c r="R636" s="17"/>
      <c r="S636" s="17"/>
      <c r="T636" s="17"/>
      <c r="U636" s="17"/>
      <c r="V636" s="17"/>
    </row>
    <row r="637" spans="1:22" x14ac:dyDescent="0.35">
      <c r="A637" s="16"/>
      <c r="E637" s="17"/>
      <c r="F637" s="17"/>
      <c r="G637" s="17"/>
      <c r="H637" s="17"/>
      <c r="I637" s="17"/>
      <c r="J637" s="17"/>
      <c r="K637" s="17"/>
      <c r="L637" s="17"/>
      <c r="M637" s="34"/>
      <c r="N637" s="34"/>
      <c r="O637" s="34"/>
      <c r="P637" s="17"/>
      <c r="Q637" s="17"/>
      <c r="R637" s="17"/>
      <c r="S637" s="17"/>
      <c r="T637" s="17"/>
      <c r="U637" s="17"/>
      <c r="V637" s="17"/>
    </row>
    <row r="638" spans="1:22" x14ac:dyDescent="0.35">
      <c r="A638" s="16"/>
      <c r="E638" s="17"/>
      <c r="F638" s="17"/>
      <c r="G638" s="17"/>
      <c r="H638" s="17"/>
      <c r="I638" s="17"/>
      <c r="J638" s="17"/>
      <c r="K638" s="17"/>
      <c r="L638" s="17"/>
      <c r="M638" s="34"/>
      <c r="N638" s="34"/>
      <c r="O638" s="34"/>
      <c r="P638" s="17"/>
      <c r="Q638" s="17"/>
      <c r="R638" s="17"/>
      <c r="S638" s="17"/>
      <c r="T638" s="17"/>
      <c r="U638" s="17"/>
      <c r="V638" s="17"/>
    </row>
    <row r="639" spans="1:22" x14ac:dyDescent="0.35">
      <c r="A639" s="16"/>
      <c r="E639" s="17"/>
      <c r="F639" s="17"/>
      <c r="G639" s="17"/>
      <c r="H639" s="17"/>
      <c r="I639" s="17"/>
      <c r="J639" s="17"/>
      <c r="K639" s="17"/>
      <c r="L639" s="17"/>
      <c r="M639" s="34"/>
      <c r="N639" s="34"/>
      <c r="O639" s="34"/>
      <c r="P639" s="17"/>
      <c r="Q639" s="17"/>
      <c r="R639" s="17"/>
      <c r="S639" s="17"/>
      <c r="T639" s="17"/>
      <c r="U639" s="17"/>
      <c r="V639" s="17"/>
    </row>
    <row r="640" spans="1:22" x14ac:dyDescent="0.35">
      <c r="A640" s="16"/>
      <c r="B640" s="16"/>
      <c r="C640" s="16"/>
      <c r="D640" s="16"/>
      <c r="E640" s="17"/>
      <c r="F640" s="17"/>
      <c r="G640" s="17"/>
      <c r="H640" s="17"/>
      <c r="I640" s="17"/>
      <c r="J640" s="17"/>
      <c r="K640" s="17"/>
      <c r="L640" s="17"/>
      <c r="M640" s="34"/>
      <c r="N640" s="34"/>
      <c r="O640" s="34"/>
      <c r="P640" s="17"/>
      <c r="Q640" s="17"/>
      <c r="R640" s="17"/>
      <c r="S640" s="17"/>
      <c r="T640" s="17"/>
      <c r="U640" s="17"/>
      <c r="V640" s="17"/>
    </row>
    <row r="641" spans="1:22" x14ac:dyDescent="0.35">
      <c r="A641" s="16"/>
      <c r="B641" s="16"/>
      <c r="C641" s="16"/>
      <c r="D641" s="16"/>
      <c r="E641" s="17"/>
      <c r="F641" s="17"/>
      <c r="G641" s="17"/>
      <c r="H641" s="17"/>
      <c r="I641" s="17"/>
      <c r="J641" s="17"/>
      <c r="K641" s="17"/>
      <c r="L641" s="17"/>
      <c r="M641" s="34"/>
      <c r="N641" s="34"/>
      <c r="O641" s="34"/>
      <c r="P641" s="17"/>
      <c r="Q641" s="17"/>
      <c r="R641" s="17"/>
      <c r="S641" s="17"/>
      <c r="T641" s="17"/>
      <c r="U641" s="17"/>
      <c r="V641" s="17"/>
    </row>
    <row r="642" spans="1:22" x14ac:dyDescent="0.35">
      <c r="A642" s="16"/>
      <c r="B642" s="16"/>
      <c r="C642" s="16"/>
      <c r="D642" s="16"/>
      <c r="E642" s="17"/>
      <c r="F642" s="17"/>
      <c r="G642" s="17"/>
      <c r="H642" s="17"/>
      <c r="I642" s="17"/>
      <c r="J642" s="17"/>
      <c r="K642" s="17"/>
      <c r="L642" s="17"/>
      <c r="M642" s="34"/>
      <c r="N642" s="34"/>
      <c r="O642" s="34"/>
      <c r="P642" s="17"/>
      <c r="Q642" s="17"/>
      <c r="R642" s="17"/>
      <c r="S642" s="17"/>
      <c r="T642" s="17"/>
      <c r="U642" s="17"/>
      <c r="V642" s="17"/>
    </row>
    <row r="643" spans="1:22" x14ac:dyDescent="0.35">
      <c r="A643" s="16"/>
      <c r="B643" s="16"/>
      <c r="C643" s="16"/>
      <c r="D643" s="16"/>
      <c r="E643" s="17"/>
      <c r="F643" s="17"/>
      <c r="G643" s="17"/>
      <c r="H643" s="17"/>
      <c r="I643" s="17"/>
      <c r="J643" s="17"/>
      <c r="K643" s="17"/>
      <c r="L643" s="17"/>
      <c r="M643" s="34"/>
      <c r="N643" s="34"/>
      <c r="O643" s="34"/>
      <c r="P643" s="17"/>
      <c r="Q643" s="17"/>
      <c r="R643" s="17"/>
      <c r="S643" s="17"/>
      <c r="T643" s="17"/>
      <c r="U643" s="17"/>
      <c r="V643" s="17"/>
    </row>
    <row r="644" spans="1:22" x14ac:dyDescent="0.35">
      <c r="A644" s="16"/>
      <c r="B644" s="16"/>
      <c r="C644" s="16"/>
      <c r="D644" s="16"/>
      <c r="E644" s="17"/>
      <c r="F644" s="17"/>
      <c r="G644" s="17"/>
      <c r="H644" s="17"/>
      <c r="I644" s="17"/>
      <c r="J644" s="17"/>
      <c r="K644" s="17"/>
      <c r="L644" s="17"/>
      <c r="M644" s="34"/>
      <c r="N644" s="34"/>
      <c r="O644" s="34"/>
      <c r="P644" s="17"/>
      <c r="Q644" s="17"/>
      <c r="R644" s="17"/>
      <c r="S644" s="17"/>
      <c r="T644" s="17"/>
      <c r="U644" s="17"/>
      <c r="V644" s="17"/>
    </row>
    <row r="645" spans="1:22" x14ac:dyDescent="0.35">
      <c r="A645" s="16"/>
      <c r="B645" s="16"/>
      <c r="C645" s="16"/>
      <c r="D645" s="16"/>
      <c r="E645" s="17"/>
      <c r="F645" s="17"/>
      <c r="G645" s="17"/>
      <c r="H645" s="17"/>
      <c r="I645" s="17"/>
      <c r="J645" s="17"/>
      <c r="K645" s="17"/>
      <c r="L645" s="17"/>
      <c r="M645" s="34"/>
      <c r="N645" s="34"/>
      <c r="O645" s="34"/>
      <c r="P645" s="17"/>
      <c r="Q645" s="17"/>
      <c r="R645" s="17"/>
      <c r="S645" s="17"/>
      <c r="T645" s="17"/>
      <c r="U645" s="17"/>
      <c r="V645" s="17"/>
    </row>
    <row r="646" spans="1:22" x14ac:dyDescent="0.35">
      <c r="A646" s="16"/>
      <c r="B646" s="16"/>
      <c r="C646" s="16"/>
      <c r="D646" s="16"/>
      <c r="E646" s="17"/>
      <c r="F646" s="17"/>
      <c r="G646" s="17"/>
      <c r="H646" s="17"/>
      <c r="I646" s="17"/>
      <c r="J646" s="17"/>
      <c r="K646" s="17"/>
      <c r="L646" s="17"/>
      <c r="M646" s="34"/>
      <c r="N646" s="34"/>
      <c r="O646" s="34"/>
      <c r="P646" s="17"/>
      <c r="Q646" s="17"/>
      <c r="R646" s="17"/>
      <c r="S646" s="17"/>
      <c r="T646" s="17"/>
      <c r="U646" s="17"/>
      <c r="V646" s="17"/>
    </row>
    <row r="647" spans="1:22" x14ac:dyDescent="0.35">
      <c r="A647" s="16"/>
      <c r="B647" s="16"/>
      <c r="C647" s="16"/>
      <c r="D647" s="16"/>
      <c r="E647" s="17"/>
      <c r="F647" s="17"/>
      <c r="G647" s="17"/>
      <c r="H647" s="17"/>
      <c r="I647" s="17"/>
      <c r="J647" s="17"/>
      <c r="K647" s="17"/>
      <c r="L647" s="17"/>
      <c r="M647" s="34"/>
      <c r="N647" s="34"/>
      <c r="O647" s="34"/>
      <c r="P647" s="17"/>
      <c r="Q647" s="17"/>
      <c r="R647" s="17"/>
      <c r="S647" s="17"/>
      <c r="T647" s="17"/>
      <c r="U647" s="17"/>
      <c r="V647" s="17"/>
    </row>
    <row r="648" spans="1:22" x14ac:dyDescent="0.35">
      <c r="A648" s="16"/>
      <c r="B648" s="16"/>
      <c r="C648" s="16"/>
      <c r="D648" s="16"/>
      <c r="E648" s="17"/>
      <c r="F648" s="17"/>
      <c r="G648" s="17"/>
      <c r="H648" s="17"/>
      <c r="I648" s="17"/>
      <c r="J648" s="17"/>
      <c r="K648" s="17"/>
      <c r="L648" s="17"/>
      <c r="M648" s="34"/>
      <c r="N648" s="34"/>
      <c r="O648" s="34"/>
      <c r="P648" s="17"/>
      <c r="Q648" s="17"/>
      <c r="R648" s="17"/>
      <c r="S648" s="17"/>
      <c r="T648" s="17"/>
      <c r="U648" s="17"/>
      <c r="V648" s="17"/>
    </row>
    <row r="649" spans="1:22" x14ac:dyDescent="0.35">
      <c r="A649" s="16"/>
      <c r="B649" s="16"/>
      <c r="C649" s="16"/>
      <c r="D649" s="16"/>
      <c r="E649" s="17"/>
      <c r="F649" s="17"/>
      <c r="G649" s="17"/>
      <c r="H649" s="17"/>
      <c r="I649" s="17"/>
      <c r="J649" s="17"/>
      <c r="K649" s="17"/>
      <c r="L649" s="17"/>
      <c r="M649" s="34"/>
      <c r="N649" s="34"/>
      <c r="O649" s="34"/>
      <c r="P649" s="17"/>
      <c r="Q649" s="17"/>
      <c r="R649" s="17"/>
      <c r="S649" s="17"/>
      <c r="T649" s="17"/>
      <c r="U649" s="17"/>
      <c r="V649" s="17"/>
    </row>
    <row r="650" spans="1:22" x14ac:dyDescent="0.35">
      <c r="A650" s="16"/>
      <c r="B650" s="16"/>
      <c r="C650" s="16"/>
      <c r="D650" s="16"/>
      <c r="E650" s="17"/>
      <c r="F650" s="17"/>
      <c r="G650" s="17"/>
      <c r="H650" s="17"/>
      <c r="I650" s="17"/>
      <c r="J650" s="17"/>
      <c r="K650" s="17"/>
      <c r="L650" s="17"/>
      <c r="M650" s="34"/>
      <c r="N650" s="34"/>
      <c r="O650" s="34"/>
      <c r="P650" s="17"/>
      <c r="Q650" s="17"/>
      <c r="R650" s="17"/>
      <c r="S650" s="17"/>
      <c r="T650" s="17"/>
      <c r="U650" s="17"/>
      <c r="V650" s="17"/>
    </row>
    <row r="651" spans="1:22" x14ac:dyDescent="0.35">
      <c r="A651" s="16"/>
      <c r="B651" s="16"/>
      <c r="C651" s="16"/>
      <c r="D651" s="16"/>
      <c r="E651" s="17"/>
      <c r="F651" s="17"/>
      <c r="G651" s="17"/>
      <c r="H651" s="17"/>
      <c r="I651" s="17"/>
      <c r="J651" s="17"/>
      <c r="K651" s="17"/>
      <c r="L651" s="17"/>
      <c r="M651" s="34"/>
      <c r="N651" s="34"/>
      <c r="O651" s="34"/>
      <c r="P651" s="17"/>
      <c r="Q651" s="17"/>
      <c r="R651" s="17"/>
      <c r="S651" s="17"/>
      <c r="T651" s="17"/>
      <c r="U651" s="17"/>
      <c r="V651" s="17"/>
    </row>
    <row r="652" spans="1:22" x14ac:dyDescent="0.35">
      <c r="A652" s="16"/>
      <c r="B652" s="16"/>
      <c r="C652" s="16"/>
      <c r="D652" s="16"/>
      <c r="E652" s="17"/>
      <c r="F652" s="17"/>
      <c r="G652" s="17"/>
      <c r="H652" s="17"/>
      <c r="I652" s="17"/>
      <c r="J652" s="17"/>
      <c r="K652" s="17"/>
      <c r="L652" s="17"/>
      <c r="M652" s="34"/>
      <c r="N652" s="34"/>
      <c r="O652" s="34"/>
      <c r="P652" s="17"/>
      <c r="Q652" s="17"/>
      <c r="R652" s="17"/>
      <c r="S652" s="17"/>
      <c r="T652" s="17"/>
      <c r="U652" s="17"/>
      <c r="V652" s="17"/>
    </row>
    <row r="653" spans="1:22" x14ac:dyDescent="0.35">
      <c r="A653" s="16"/>
      <c r="B653" s="16"/>
      <c r="C653" s="16"/>
      <c r="D653" s="16"/>
      <c r="E653" s="17"/>
      <c r="F653" s="17"/>
      <c r="G653" s="17"/>
      <c r="H653" s="17"/>
      <c r="I653" s="17"/>
      <c r="J653" s="17"/>
      <c r="K653" s="17"/>
      <c r="L653" s="17"/>
      <c r="M653" s="34"/>
      <c r="N653" s="34"/>
      <c r="O653" s="34"/>
      <c r="P653" s="17"/>
      <c r="Q653" s="17"/>
      <c r="R653" s="17"/>
      <c r="S653" s="17"/>
      <c r="T653" s="17"/>
      <c r="U653" s="17"/>
      <c r="V653" s="17"/>
    </row>
    <row r="654" spans="1:22" x14ac:dyDescent="0.35">
      <c r="A654" s="16"/>
      <c r="B654" s="16"/>
      <c r="C654" s="16"/>
      <c r="D654" s="16"/>
      <c r="E654" s="17"/>
      <c r="F654" s="17"/>
      <c r="G654" s="17"/>
      <c r="H654" s="17"/>
      <c r="I654" s="17"/>
      <c r="J654" s="17"/>
      <c r="K654" s="17"/>
      <c r="L654" s="17"/>
      <c r="M654" s="34"/>
      <c r="N654" s="34"/>
      <c r="O654" s="34"/>
      <c r="P654" s="17"/>
      <c r="Q654" s="17"/>
      <c r="R654" s="17"/>
      <c r="S654" s="17"/>
      <c r="T654" s="17"/>
      <c r="U654" s="17"/>
      <c r="V654" s="17"/>
    </row>
    <row r="655" spans="1:22" x14ac:dyDescent="0.35">
      <c r="A655" s="16"/>
      <c r="B655" s="16"/>
      <c r="C655" s="16"/>
      <c r="D655" s="16"/>
      <c r="E655" s="17"/>
      <c r="F655" s="17"/>
      <c r="G655" s="17"/>
      <c r="H655" s="17"/>
      <c r="I655" s="17"/>
      <c r="J655" s="17"/>
      <c r="K655" s="17"/>
      <c r="L655" s="17"/>
      <c r="M655" s="34"/>
      <c r="N655" s="34"/>
      <c r="O655" s="34"/>
      <c r="P655" s="17"/>
      <c r="Q655" s="17"/>
      <c r="R655" s="17"/>
      <c r="S655" s="17"/>
      <c r="T655" s="17"/>
      <c r="U655" s="17"/>
      <c r="V655" s="17"/>
    </row>
    <row r="656" spans="1:22" x14ac:dyDescent="0.35">
      <c r="A656" s="16"/>
      <c r="B656" s="16"/>
      <c r="C656" s="16"/>
      <c r="D656" s="16"/>
      <c r="E656" s="17"/>
      <c r="F656" s="17"/>
      <c r="G656" s="17"/>
      <c r="H656" s="17"/>
      <c r="I656" s="17"/>
      <c r="J656" s="17"/>
      <c r="K656" s="17"/>
      <c r="L656" s="17"/>
      <c r="M656" s="34"/>
      <c r="N656" s="34"/>
      <c r="O656" s="34"/>
      <c r="P656" s="17"/>
      <c r="Q656" s="17"/>
      <c r="R656" s="17"/>
      <c r="S656" s="17"/>
      <c r="T656" s="17"/>
      <c r="U656" s="17"/>
      <c r="V656" s="17"/>
    </row>
    <row r="657" spans="1:22" x14ac:dyDescent="0.35">
      <c r="A657" s="16"/>
      <c r="B657" s="16"/>
      <c r="C657" s="16"/>
      <c r="D657" s="16"/>
      <c r="E657" s="17"/>
      <c r="F657" s="17"/>
      <c r="G657" s="17"/>
      <c r="H657" s="17"/>
      <c r="I657" s="17"/>
      <c r="J657" s="17"/>
      <c r="K657" s="17"/>
      <c r="L657" s="17"/>
      <c r="M657" s="34"/>
      <c r="N657" s="34"/>
      <c r="O657" s="34"/>
      <c r="P657" s="17"/>
      <c r="Q657" s="17"/>
      <c r="R657" s="17"/>
      <c r="S657" s="17"/>
      <c r="T657" s="17"/>
      <c r="U657" s="17"/>
      <c r="V657" s="17"/>
    </row>
    <row r="658" spans="1:22" x14ac:dyDescent="0.35">
      <c r="A658" s="16"/>
      <c r="B658" s="16"/>
      <c r="C658" s="16"/>
      <c r="D658" s="16"/>
      <c r="E658" s="17"/>
      <c r="F658" s="17"/>
      <c r="G658" s="17"/>
      <c r="H658" s="17"/>
      <c r="I658" s="17"/>
      <c r="J658" s="17"/>
      <c r="K658" s="17"/>
      <c r="L658" s="17"/>
      <c r="M658" s="34"/>
      <c r="N658" s="34"/>
      <c r="O658" s="34"/>
      <c r="P658" s="17"/>
      <c r="Q658" s="17"/>
      <c r="R658" s="17"/>
      <c r="S658" s="17"/>
      <c r="T658" s="17"/>
      <c r="U658" s="17"/>
      <c r="V658" s="17"/>
    </row>
    <row r="659" spans="1:22" x14ac:dyDescent="0.35">
      <c r="A659" s="16"/>
      <c r="B659" s="16"/>
      <c r="C659" s="16"/>
      <c r="D659" s="16"/>
      <c r="E659" s="17"/>
      <c r="F659" s="17"/>
      <c r="G659" s="17"/>
      <c r="H659" s="17"/>
      <c r="I659" s="17"/>
      <c r="J659" s="17"/>
      <c r="K659" s="17"/>
      <c r="L659" s="17"/>
      <c r="M659" s="34"/>
      <c r="N659" s="34"/>
      <c r="O659" s="34"/>
      <c r="P659" s="17"/>
      <c r="Q659" s="17"/>
      <c r="R659" s="17"/>
      <c r="S659" s="17"/>
      <c r="T659" s="17"/>
      <c r="U659" s="17"/>
      <c r="V659" s="17"/>
    </row>
    <row r="660" spans="1:22" x14ac:dyDescent="0.35">
      <c r="A660" s="16"/>
      <c r="B660" s="16"/>
      <c r="C660" s="16"/>
      <c r="D660" s="16"/>
      <c r="E660" s="17"/>
      <c r="F660" s="17"/>
      <c r="G660" s="17"/>
      <c r="H660" s="17"/>
      <c r="I660" s="17"/>
      <c r="J660" s="17"/>
      <c r="K660" s="17"/>
      <c r="L660" s="17"/>
      <c r="M660" s="34"/>
      <c r="N660" s="34"/>
      <c r="O660" s="34"/>
      <c r="P660" s="17"/>
      <c r="Q660" s="17"/>
      <c r="R660" s="17"/>
      <c r="S660" s="17"/>
      <c r="T660" s="17"/>
      <c r="U660" s="17"/>
      <c r="V660" s="17"/>
    </row>
    <row r="661" spans="1:22" x14ac:dyDescent="0.35">
      <c r="A661" s="16"/>
      <c r="B661" s="16"/>
      <c r="C661" s="16"/>
      <c r="D661" s="16"/>
      <c r="E661" s="17"/>
      <c r="F661" s="17"/>
      <c r="G661" s="17"/>
      <c r="H661" s="17"/>
      <c r="I661" s="17"/>
      <c r="J661" s="17"/>
      <c r="K661" s="17"/>
      <c r="L661" s="17"/>
      <c r="M661" s="34"/>
      <c r="N661" s="34"/>
      <c r="O661" s="34"/>
      <c r="P661" s="17"/>
      <c r="Q661" s="17"/>
      <c r="R661" s="17"/>
      <c r="S661" s="17"/>
      <c r="T661" s="17"/>
      <c r="U661" s="17"/>
      <c r="V661" s="17"/>
    </row>
    <row r="662" spans="1:22" x14ac:dyDescent="0.35">
      <c r="A662" s="16"/>
      <c r="B662" s="16"/>
      <c r="C662" s="16"/>
      <c r="D662" s="16"/>
      <c r="E662" s="17"/>
      <c r="F662" s="17"/>
      <c r="G662" s="17"/>
      <c r="H662" s="17"/>
      <c r="I662" s="17"/>
      <c r="J662" s="17"/>
      <c r="K662" s="17"/>
      <c r="L662" s="17"/>
      <c r="M662" s="34"/>
      <c r="N662" s="34"/>
      <c r="O662" s="34"/>
      <c r="P662" s="17"/>
      <c r="Q662" s="17"/>
      <c r="R662" s="17"/>
      <c r="S662" s="17"/>
      <c r="T662" s="17"/>
      <c r="U662" s="17"/>
      <c r="V662" s="17"/>
    </row>
    <row r="663" spans="1:22" x14ac:dyDescent="0.35">
      <c r="A663" s="16"/>
      <c r="B663" s="16"/>
      <c r="C663" s="16"/>
      <c r="D663" s="16"/>
      <c r="E663" s="17"/>
      <c r="F663" s="17"/>
      <c r="G663" s="17"/>
      <c r="H663" s="17"/>
      <c r="I663" s="17"/>
      <c r="J663" s="17"/>
      <c r="K663" s="17"/>
      <c r="L663" s="17"/>
      <c r="M663" s="34"/>
      <c r="N663" s="34"/>
      <c r="O663" s="34"/>
      <c r="P663" s="17"/>
      <c r="Q663" s="17"/>
      <c r="R663" s="17"/>
      <c r="S663" s="17"/>
      <c r="T663" s="17"/>
      <c r="U663" s="17"/>
      <c r="V663" s="17"/>
    </row>
    <row r="664" spans="1:22" x14ac:dyDescent="0.35">
      <c r="A664" s="16"/>
      <c r="B664" s="16"/>
      <c r="C664" s="16"/>
      <c r="D664" s="16"/>
      <c r="E664" s="17"/>
      <c r="F664" s="17"/>
      <c r="G664" s="17"/>
      <c r="H664" s="17"/>
      <c r="I664" s="17"/>
      <c r="J664" s="17"/>
      <c r="K664" s="17"/>
      <c r="L664" s="17"/>
      <c r="M664" s="34"/>
      <c r="N664" s="34"/>
      <c r="O664" s="34"/>
      <c r="P664" s="17"/>
      <c r="Q664" s="17"/>
      <c r="R664" s="17"/>
      <c r="S664" s="17"/>
      <c r="T664" s="17"/>
      <c r="U664" s="17"/>
      <c r="V664" s="17"/>
    </row>
    <row r="665" spans="1:22" x14ac:dyDescent="0.35">
      <c r="A665" s="16"/>
      <c r="B665" s="16"/>
      <c r="C665" s="16"/>
      <c r="D665" s="16"/>
      <c r="E665" s="17"/>
      <c r="F665" s="17"/>
      <c r="G665" s="17"/>
      <c r="H665" s="17"/>
      <c r="I665" s="17"/>
      <c r="J665" s="17"/>
      <c r="K665" s="17"/>
      <c r="L665" s="17"/>
      <c r="M665" s="34"/>
      <c r="N665" s="34"/>
      <c r="O665" s="34"/>
      <c r="P665" s="17"/>
      <c r="Q665" s="17"/>
      <c r="R665" s="17"/>
      <c r="S665" s="17"/>
      <c r="T665" s="17"/>
      <c r="U665" s="17"/>
      <c r="V665" s="17"/>
    </row>
    <row r="666" spans="1:22" x14ac:dyDescent="0.35">
      <c r="A666" s="16"/>
      <c r="B666" s="16"/>
      <c r="C666" s="16"/>
      <c r="D666" s="16"/>
      <c r="E666" s="17"/>
      <c r="F666" s="17"/>
      <c r="G666" s="17"/>
      <c r="H666" s="17"/>
      <c r="I666" s="17"/>
      <c r="J666" s="17"/>
      <c r="K666" s="17"/>
      <c r="L666" s="17"/>
      <c r="M666" s="34"/>
      <c r="N666" s="34"/>
      <c r="O666" s="34"/>
      <c r="P666" s="17"/>
      <c r="Q666" s="17"/>
      <c r="R666" s="17"/>
      <c r="S666" s="17"/>
      <c r="T666" s="17"/>
      <c r="U666" s="17"/>
      <c r="V666" s="17"/>
    </row>
    <row r="667" spans="1:22" x14ac:dyDescent="0.35">
      <c r="A667" s="16"/>
      <c r="B667" s="16"/>
      <c r="C667" s="16"/>
      <c r="D667" s="16"/>
      <c r="E667" s="17"/>
      <c r="F667" s="17"/>
      <c r="G667" s="17"/>
      <c r="H667" s="17"/>
      <c r="I667" s="17"/>
      <c r="J667" s="17"/>
      <c r="K667" s="17"/>
      <c r="L667" s="17"/>
      <c r="M667" s="34"/>
      <c r="N667" s="34"/>
      <c r="O667" s="34"/>
      <c r="P667" s="17"/>
      <c r="Q667" s="17"/>
      <c r="R667" s="17"/>
      <c r="S667" s="17"/>
      <c r="T667" s="17"/>
      <c r="U667" s="17"/>
      <c r="V667" s="17"/>
    </row>
    <row r="668" spans="1:22" x14ac:dyDescent="0.35">
      <c r="A668" s="16"/>
      <c r="B668" s="16"/>
      <c r="C668" s="16"/>
      <c r="D668" s="16"/>
      <c r="E668" s="17"/>
      <c r="F668" s="17"/>
      <c r="G668" s="17"/>
      <c r="H668" s="17"/>
      <c r="I668" s="17"/>
      <c r="J668" s="17"/>
      <c r="K668" s="17"/>
      <c r="L668" s="17"/>
      <c r="M668" s="34"/>
      <c r="N668" s="34"/>
      <c r="O668" s="34"/>
      <c r="P668" s="17"/>
      <c r="Q668" s="17"/>
      <c r="R668" s="17"/>
      <c r="S668" s="17"/>
      <c r="T668" s="17"/>
      <c r="U668" s="17"/>
      <c r="V668" s="17"/>
    </row>
    <row r="669" spans="1:22" x14ac:dyDescent="0.35">
      <c r="A669" s="16"/>
      <c r="B669" s="16"/>
      <c r="C669" s="16"/>
      <c r="D669" s="16"/>
      <c r="E669" s="17"/>
      <c r="F669" s="17"/>
      <c r="G669" s="17"/>
      <c r="H669" s="17"/>
      <c r="I669" s="17"/>
      <c r="J669" s="17"/>
      <c r="K669" s="17"/>
      <c r="L669" s="17"/>
      <c r="M669" s="34"/>
      <c r="N669" s="34"/>
      <c r="O669" s="34"/>
      <c r="P669" s="17"/>
      <c r="Q669" s="17"/>
      <c r="R669" s="17"/>
      <c r="S669" s="17"/>
      <c r="T669" s="17"/>
      <c r="U669" s="17"/>
      <c r="V669" s="17"/>
    </row>
    <row r="670" spans="1:22" x14ac:dyDescent="0.35">
      <c r="A670" s="16"/>
      <c r="B670" s="16"/>
      <c r="C670" s="16"/>
      <c r="D670" s="16"/>
      <c r="E670" s="17"/>
      <c r="F670" s="17"/>
      <c r="G670" s="17"/>
      <c r="H670" s="17"/>
      <c r="I670" s="17"/>
      <c r="J670" s="17"/>
      <c r="K670" s="17"/>
      <c r="L670" s="17"/>
      <c r="M670" s="34"/>
      <c r="N670" s="34"/>
      <c r="O670" s="34"/>
      <c r="P670" s="17"/>
      <c r="Q670" s="17"/>
      <c r="R670" s="17"/>
      <c r="S670" s="17"/>
      <c r="T670" s="17"/>
      <c r="U670" s="17"/>
      <c r="V670" s="17"/>
    </row>
    <row r="671" spans="1:22" x14ac:dyDescent="0.35">
      <c r="A671" s="16"/>
      <c r="B671" s="16"/>
      <c r="C671" s="16"/>
      <c r="D671" s="16"/>
      <c r="E671" s="17"/>
      <c r="F671" s="17"/>
      <c r="G671" s="17"/>
      <c r="H671" s="17"/>
      <c r="I671" s="17"/>
      <c r="J671" s="17"/>
      <c r="K671" s="17"/>
      <c r="L671" s="17"/>
      <c r="M671" s="34"/>
      <c r="N671" s="34"/>
      <c r="O671" s="34"/>
      <c r="P671" s="17"/>
      <c r="Q671" s="17"/>
      <c r="R671" s="17"/>
      <c r="S671" s="17"/>
      <c r="T671" s="17"/>
      <c r="U671" s="17"/>
      <c r="V671" s="17"/>
    </row>
    <row r="672" spans="1:22" x14ac:dyDescent="0.35">
      <c r="A672" s="16"/>
      <c r="B672" s="16"/>
      <c r="C672" s="16"/>
      <c r="D672" s="16"/>
      <c r="E672" s="17"/>
      <c r="F672" s="17"/>
      <c r="G672" s="17"/>
      <c r="H672" s="17"/>
      <c r="I672" s="17"/>
      <c r="J672" s="17"/>
      <c r="K672" s="17"/>
      <c r="L672" s="17"/>
      <c r="M672" s="34"/>
      <c r="N672" s="34"/>
      <c r="O672" s="34"/>
      <c r="P672" s="17"/>
      <c r="Q672" s="17"/>
      <c r="R672" s="17"/>
      <c r="S672" s="17"/>
      <c r="T672" s="17"/>
      <c r="U672" s="17"/>
      <c r="V672" s="17"/>
    </row>
    <row r="673" spans="1:22" x14ac:dyDescent="0.35">
      <c r="A673" s="16"/>
      <c r="B673" s="16"/>
      <c r="C673" s="16"/>
      <c r="D673" s="16"/>
      <c r="E673" s="17"/>
      <c r="F673" s="17"/>
      <c r="G673" s="17"/>
      <c r="H673" s="17"/>
      <c r="I673" s="17"/>
      <c r="J673" s="17"/>
      <c r="K673" s="17"/>
      <c r="L673" s="17"/>
      <c r="M673" s="34"/>
      <c r="N673" s="34"/>
      <c r="O673" s="34"/>
      <c r="P673" s="17"/>
      <c r="Q673" s="17"/>
      <c r="R673" s="17"/>
      <c r="S673" s="17"/>
      <c r="T673" s="17"/>
      <c r="U673" s="17"/>
      <c r="V673" s="17"/>
    </row>
    <row r="674" spans="1:22" x14ac:dyDescent="0.35">
      <c r="A674" s="16"/>
      <c r="B674" s="16"/>
      <c r="C674" s="16"/>
      <c r="D674" s="16"/>
      <c r="E674" s="17"/>
      <c r="F674" s="17"/>
      <c r="G674" s="17"/>
      <c r="H674" s="17"/>
      <c r="I674" s="17"/>
      <c r="J674" s="17"/>
      <c r="K674" s="17"/>
      <c r="L674" s="17"/>
      <c r="M674" s="34"/>
      <c r="N674" s="34"/>
      <c r="O674" s="34"/>
      <c r="P674" s="17"/>
      <c r="Q674" s="17"/>
      <c r="R674" s="17"/>
      <c r="S674" s="17"/>
      <c r="T674" s="17"/>
      <c r="U674" s="17"/>
      <c r="V674" s="17"/>
    </row>
    <row r="675" spans="1:22" x14ac:dyDescent="0.35">
      <c r="A675" s="16"/>
      <c r="B675" s="16"/>
      <c r="C675" s="16"/>
      <c r="D675" s="16"/>
      <c r="E675" s="17"/>
      <c r="F675" s="17"/>
      <c r="G675" s="17"/>
      <c r="H675" s="17"/>
      <c r="I675" s="17"/>
      <c r="J675" s="17"/>
      <c r="K675" s="17"/>
      <c r="L675" s="17"/>
      <c r="M675" s="34"/>
      <c r="N675" s="34"/>
      <c r="O675" s="34"/>
      <c r="P675" s="17"/>
      <c r="Q675" s="17"/>
      <c r="R675" s="17"/>
      <c r="S675" s="17"/>
      <c r="T675" s="17"/>
      <c r="U675" s="17"/>
      <c r="V675" s="17"/>
    </row>
    <row r="676" spans="1:22" x14ac:dyDescent="0.35">
      <c r="A676" s="16"/>
      <c r="B676" s="16"/>
      <c r="C676" s="16"/>
      <c r="D676" s="16"/>
      <c r="E676" s="17"/>
      <c r="F676" s="17"/>
      <c r="G676" s="17"/>
      <c r="H676" s="17"/>
      <c r="I676" s="17"/>
      <c r="J676" s="17"/>
      <c r="K676" s="17"/>
      <c r="L676" s="17"/>
      <c r="M676" s="34"/>
      <c r="N676" s="34"/>
      <c r="O676" s="34"/>
      <c r="P676" s="17"/>
      <c r="Q676" s="17"/>
      <c r="R676" s="17"/>
      <c r="S676" s="17"/>
      <c r="T676" s="17"/>
      <c r="U676" s="17"/>
      <c r="V676" s="17"/>
    </row>
    <row r="677" spans="1:22" x14ac:dyDescent="0.35">
      <c r="A677" s="16"/>
      <c r="B677" s="16"/>
      <c r="C677" s="16"/>
      <c r="D677" s="16"/>
      <c r="E677" s="17"/>
      <c r="F677" s="17"/>
      <c r="G677" s="17"/>
      <c r="H677" s="17"/>
      <c r="I677" s="17"/>
      <c r="J677" s="17"/>
      <c r="K677" s="17"/>
      <c r="L677" s="17"/>
      <c r="M677" s="34"/>
      <c r="N677" s="34"/>
      <c r="O677" s="34"/>
      <c r="P677" s="17"/>
      <c r="Q677" s="17"/>
      <c r="R677" s="17"/>
      <c r="S677" s="17"/>
      <c r="T677" s="17"/>
      <c r="U677" s="17"/>
      <c r="V677" s="17"/>
    </row>
    <row r="678" spans="1:22" x14ac:dyDescent="0.35">
      <c r="A678" s="16"/>
      <c r="B678" s="16"/>
      <c r="C678" s="16"/>
      <c r="D678" s="16"/>
      <c r="E678" s="17"/>
      <c r="F678" s="17"/>
      <c r="G678" s="17"/>
      <c r="H678" s="17"/>
      <c r="I678" s="17"/>
      <c r="J678" s="17"/>
      <c r="K678" s="17"/>
      <c r="L678" s="17"/>
      <c r="M678" s="34"/>
      <c r="N678" s="34"/>
      <c r="O678" s="34"/>
      <c r="P678" s="17"/>
      <c r="Q678" s="17"/>
      <c r="R678" s="17"/>
      <c r="S678" s="17"/>
      <c r="T678" s="17"/>
      <c r="U678" s="17"/>
      <c r="V678" s="17"/>
    </row>
    <row r="679" spans="1:22" x14ac:dyDescent="0.35">
      <c r="A679" s="16"/>
      <c r="B679" s="16"/>
      <c r="C679" s="16"/>
      <c r="D679" s="16"/>
      <c r="E679" s="17"/>
      <c r="F679" s="17"/>
      <c r="G679" s="17"/>
      <c r="H679" s="17"/>
      <c r="I679" s="17"/>
      <c r="J679" s="17"/>
      <c r="K679" s="17"/>
      <c r="L679" s="17"/>
      <c r="M679" s="34"/>
      <c r="N679" s="34"/>
      <c r="O679" s="34"/>
      <c r="P679" s="17"/>
      <c r="Q679" s="17"/>
      <c r="R679" s="17"/>
      <c r="S679" s="17"/>
      <c r="T679" s="17"/>
      <c r="U679" s="17"/>
      <c r="V679" s="17"/>
    </row>
    <row r="680" spans="1:22" x14ac:dyDescent="0.35">
      <c r="A680" s="16"/>
      <c r="B680" s="16"/>
      <c r="C680" s="16"/>
      <c r="D680" s="16"/>
      <c r="E680" s="17"/>
      <c r="F680" s="17"/>
      <c r="G680" s="17"/>
      <c r="H680" s="17"/>
      <c r="I680" s="17"/>
      <c r="J680" s="17"/>
      <c r="K680" s="17"/>
      <c r="L680" s="17"/>
      <c r="M680" s="34"/>
      <c r="N680" s="34"/>
      <c r="O680" s="34"/>
      <c r="P680" s="17"/>
      <c r="Q680" s="17"/>
      <c r="R680" s="17"/>
      <c r="S680" s="17"/>
      <c r="T680" s="17"/>
      <c r="U680" s="17"/>
      <c r="V680" s="17"/>
    </row>
    <row r="681" spans="1:22" x14ac:dyDescent="0.35">
      <c r="A681" s="16"/>
      <c r="B681" s="16"/>
      <c r="C681" s="16"/>
      <c r="D681" s="16"/>
      <c r="E681" s="17"/>
      <c r="F681" s="17"/>
      <c r="G681" s="17"/>
      <c r="H681" s="17"/>
      <c r="I681" s="17"/>
      <c r="J681" s="17"/>
      <c r="K681" s="17"/>
      <c r="L681" s="17"/>
      <c r="M681" s="34"/>
      <c r="N681" s="34"/>
      <c r="O681" s="34"/>
      <c r="P681" s="17"/>
      <c r="Q681" s="17"/>
      <c r="R681" s="17"/>
      <c r="S681" s="17"/>
      <c r="T681" s="17"/>
      <c r="U681" s="17"/>
      <c r="V681" s="17"/>
    </row>
    <row r="682" spans="1:22" x14ac:dyDescent="0.35">
      <c r="A682" s="16"/>
      <c r="B682" s="16"/>
      <c r="C682" s="16"/>
      <c r="D682" s="16"/>
      <c r="E682" s="17"/>
      <c r="F682" s="17"/>
      <c r="G682" s="17"/>
      <c r="H682" s="17"/>
      <c r="I682" s="17"/>
      <c r="J682" s="17"/>
      <c r="K682" s="17"/>
      <c r="L682" s="17"/>
      <c r="M682" s="34"/>
      <c r="N682" s="34"/>
      <c r="O682" s="34"/>
      <c r="P682" s="17"/>
      <c r="Q682" s="17"/>
      <c r="R682" s="17"/>
      <c r="S682" s="17"/>
      <c r="T682" s="17"/>
      <c r="U682" s="17"/>
      <c r="V682" s="17"/>
    </row>
    <row r="683" spans="1:22" x14ac:dyDescent="0.35">
      <c r="A683" s="16"/>
      <c r="B683" s="16"/>
      <c r="C683" s="16"/>
      <c r="D683" s="16"/>
      <c r="E683" s="17"/>
      <c r="F683" s="17"/>
      <c r="G683" s="17"/>
      <c r="H683" s="17"/>
      <c r="I683" s="17"/>
      <c r="J683" s="17"/>
      <c r="K683" s="17"/>
      <c r="L683" s="17"/>
      <c r="M683" s="34"/>
      <c r="N683" s="34"/>
      <c r="O683" s="34"/>
      <c r="P683" s="17"/>
      <c r="Q683" s="17"/>
      <c r="R683" s="17"/>
      <c r="S683" s="17"/>
      <c r="T683" s="17"/>
      <c r="U683" s="17"/>
      <c r="V683" s="17"/>
    </row>
    <row r="684" spans="1:22" x14ac:dyDescent="0.35">
      <c r="A684" s="16"/>
      <c r="B684" s="16"/>
      <c r="C684" s="16"/>
      <c r="D684" s="16"/>
      <c r="E684" s="17"/>
      <c r="F684" s="17"/>
      <c r="G684" s="17"/>
      <c r="H684" s="17"/>
      <c r="I684" s="17"/>
      <c r="J684" s="17"/>
      <c r="K684" s="17"/>
      <c r="L684" s="17"/>
      <c r="M684" s="34"/>
      <c r="N684" s="34"/>
      <c r="O684" s="34"/>
      <c r="P684" s="17"/>
      <c r="Q684" s="17"/>
      <c r="R684" s="17"/>
      <c r="S684" s="17"/>
      <c r="T684" s="17"/>
      <c r="U684" s="17"/>
      <c r="V684" s="17"/>
    </row>
    <row r="685" spans="1:22" x14ac:dyDescent="0.35">
      <c r="A685" s="16"/>
      <c r="B685" s="16"/>
      <c r="C685" s="16"/>
      <c r="D685" s="16"/>
      <c r="E685" s="17"/>
      <c r="F685" s="17"/>
      <c r="G685" s="17"/>
      <c r="H685" s="17"/>
      <c r="I685" s="17"/>
      <c r="J685" s="17"/>
      <c r="K685" s="17"/>
      <c r="L685" s="17"/>
      <c r="M685" s="34"/>
      <c r="N685" s="34"/>
      <c r="O685" s="34"/>
      <c r="P685" s="17"/>
      <c r="Q685" s="17"/>
      <c r="R685" s="17"/>
      <c r="S685" s="17"/>
      <c r="T685" s="17"/>
      <c r="U685" s="17"/>
      <c r="V685" s="17"/>
    </row>
    <row r="686" spans="1:22" x14ac:dyDescent="0.35">
      <c r="A686" s="16"/>
      <c r="B686" s="16"/>
      <c r="C686" s="16"/>
      <c r="D686" s="16"/>
      <c r="E686" s="17"/>
      <c r="F686" s="17"/>
      <c r="G686" s="17"/>
      <c r="H686" s="17"/>
      <c r="I686" s="17"/>
      <c r="J686" s="17"/>
      <c r="K686" s="17"/>
      <c r="L686" s="17"/>
      <c r="M686" s="34"/>
      <c r="N686" s="34"/>
      <c r="O686" s="34"/>
      <c r="P686" s="17"/>
      <c r="Q686" s="17"/>
      <c r="R686" s="17"/>
      <c r="S686" s="17"/>
      <c r="T686" s="17"/>
      <c r="U686" s="17"/>
      <c r="V686" s="17"/>
    </row>
    <row r="687" spans="1:22" x14ac:dyDescent="0.35">
      <c r="A687" s="16"/>
      <c r="B687" s="16"/>
      <c r="C687" s="16"/>
      <c r="D687" s="16"/>
      <c r="E687" s="17"/>
      <c r="F687" s="17"/>
      <c r="G687" s="17"/>
      <c r="H687" s="17"/>
      <c r="I687" s="17"/>
      <c r="J687" s="17"/>
      <c r="K687" s="17"/>
      <c r="L687" s="17"/>
      <c r="M687" s="34"/>
      <c r="N687" s="34"/>
      <c r="O687" s="34"/>
      <c r="P687" s="17"/>
      <c r="Q687" s="17"/>
      <c r="R687" s="17"/>
      <c r="S687" s="17"/>
      <c r="T687" s="17"/>
      <c r="U687" s="17"/>
      <c r="V687" s="17"/>
    </row>
    <row r="688" spans="1:22" x14ac:dyDescent="0.35">
      <c r="A688" s="16"/>
      <c r="B688" s="16"/>
      <c r="C688" s="16"/>
      <c r="D688" s="16"/>
      <c r="E688" s="17"/>
      <c r="F688" s="17"/>
      <c r="G688" s="17"/>
      <c r="H688" s="17"/>
      <c r="I688" s="17"/>
      <c r="J688" s="17"/>
      <c r="K688" s="17"/>
      <c r="L688" s="17"/>
      <c r="M688" s="34"/>
      <c r="N688" s="34"/>
      <c r="O688" s="34"/>
      <c r="P688" s="17"/>
      <c r="Q688" s="17"/>
      <c r="R688" s="17"/>
      <c r="S688" s="17"/>
      <c r="T688" s="17"/>
      <c r="U688" s="17"/>
      <c r="V688" s="17"/>
    </row>
    <row r="689" spans="1:22" x14ac:dyDescent="0.35">
      <c r="A689" s="16"/>
      <c r="B689" s="16"/>
      <c r="C689" s="16"/>
      <c r="D689" s="16"/>
      <c r="E689" s="17"/>
      <c r="F689" s="17"/>
      <c r="G689" s="17"/>
      <c r="H689" s="17"/>
      <c r="I689" s="17"/>
      <c r="J689" s="17"/>
      <c r="K689" s="17"/>
      <c r="L689" s="17"/>
      <c r="M689" s="34"/>
      <c r="N689" s="34"/>
      <c r="O689" s="34"/>
      <c r="P689" s="17"/>
      <c r="Q689" s="17"/>
      <c r="R689" s="17"/>
      <c r="S689" s="17"/>
      <c r="T689" s="17"/>
      <c r="U689" s="17"/>
      <c r="V689" s="17"/>
    </row>
    <row r="690" spans="1:22" x14ac:dyDescent="0.35">
      <c r="A690" s="16"/>
      <c r="B690" s="16"/>
      <c r="C690" s="16"/>
      <c r="D690" s="16"/>
      <c r="E690" s="17"/>
      <c r="F690" s="17"/>
      <c r="G690" s="17"/>
      <c r="H690" s="17"/>
      <c r="I690" s="17"/>
      <c r="J690" s="17"/>
      <c r="K690" s="17"/>
      <c r="L690" s="17"/>
      <c r="M690" s="34"/>
      <c r="N690" s="34"/>
      <c r="O690" s="34"/>
      <c r="P690" s="17"/>
      <c r="Q690" s="17"/>
      <c r="R690" s="17"/>
      <c r="S690" s="17"/>
      <c r="T690" s="17"/>
      <c r="U690" s="17"/>
      <c r="V690" s="17"/>
    </row>
    <row r="691" spans="1:22" x14ac:dyDescent="0.35">
      <c r="A691" s="16"/>
      <c r="B691" s="16"/>
      <c r="C691" s="16"/>
      <c r="D691" s="16"/>
      <c r="E691" s="17"/>
      <c r="F691" s="17"/>
      <c r="G691" s="17"/>
      <c r="H691" s="17"/>
      <c r="I691" s="17"/>
      <c r="J691" s="17"/>
      <c r="K691" s="17"/>
      <c r="L691" s="17"/>
      <c r="M691" s="34"/>
      <c r="N691" s="34"/>
      <c r="O691" s="34"/>
      <c r="P691" s="17"/>
      <c r="Q691" s="17"/>
      <c r="R691" s="17"/>
      <c r="S691" s="17"/>
      <c r="T691" s="17"/>
      <c r="U691" s="17"/>
      <c r="V691" s="17"/>
    </row>
    <row r="692" spans="1:22" x14ac:dyDescent="0.35">
      <c r="A692" s="16"/>
      <c r="B692" s="16"/>
      <c r="C692" s="16"/>
      <c r="D692" s="16"/>
      <c r="E692" s="17"/>
      <c r="F692" s="17"/>
      <c r="G692" s="17"/>
      <c r="H692" s="17"/>
      <c r="I692" s="17"/>
      <c r="J692" s="17"/>
      <c r="K692" s="17"/>
      <c r="L692" s="17"/>
      <c r="M692" s="34"/>
      <c r="N692" s="34"/>
      <c r="O692" s="34"/>
      <c r="P692" s="17"/>
      <c r="Q692" s="17"/>
      <c r="R692" s="17"/>
      <c r="S692" s="17"/>
      <c r="T692" s="17"/>
      <c r="U692" s="17"/>
      <c r="V692" s="17"/>
    </row>
    <row r="693" spans="1:22" x14ac:dyDescent="0.35">
      <c r="A693" s="16"/>
      <c r="B693" s="16"/>
      <c r="C693" s="16"/>
      <c r="D693" s="16"/>
      <c r="E693" s="17"/>
      <c r="F693" s="17"/>
      <c r="G693" s="17"/>
      <c r="H693" s="17"/>
      <c r="I693" s="17"/>
      <c r="J693" s="17"/>
      <c r="K693" s="17"/>
      <c r="L693" s="17"/>
      <c r="M693" s="34"/>
      <c r="N693" s="34"/>
      <c r="O693" s="34"/>
      <c r="P693" s="17"/>
      <c r="Q693" s="17"/>
      <c r="R693" s="17"/>
      <c r="S693" s="17"/>
      <c r="T693" s="17"/>
      <c r="U693" s="17"/>
      <c r="V693" s="17"/>
    </row>
    <row r="694" spans="1:22" x14ac:dyDescent="0.35">
      <c r="A694" s="16"/>
      <c r="B694" s="16"/>
      <c r="C694" s="16"/>
      <c r="D694" s="16"/>
      <c r="E694" s="17"/>
      <c r="F694" s="17"/>
      <c r="G694" s="17"/>
      <c r="H694" s="17"/>
      <c r="I694" s="17"/>
      <c r="J694" s="17"/>
      <c r="K694" s="17"/>
      <c r="L694" s="17"/>
      <c r="M694" s="34"/>
      <c r="N694" s="34"/>
      <c r="O694" s="34"/>
      <c r="P694" s="17"/>
      <c r="Q694" s="17"/>
      <c r="R694" s="17"/>
      <c r="S694" s="17"/>
      <c r="T694" s="17"/>
      <c r="U694" s="17"/>
      <c r="V694" s="17"/>
    </row>
    <row r="695" spans="1:22" x14ac:dyDescent="0.35">
      <c r="A695" s="16"/>
      <c r="B695" s="16"/>
      <c r="C695" s="16"/>
      <c r="D695" s="16"/>
      <c r="E695" s="17"/>
      <c r="F695" s="17"/>
      <c r="G695" s="17"/>
      <c r="H695" s="17"/>
      <c r="I695" s="17"/>
      <c r="J695" s="17"/>
      <c r="K695" s="17"/>
      <c r="L695" s="17"/>
      <c r="M695" s="34"/>
      <c r="N695" s="34"/>
      <c r="O695" s="34"/>
      <c r="P695" s="17"/>
      <c r="Q695" s="17"/>
      <c r="R695" s="17"/>
      <c r="S695" s="17"/>
      <c r="T695" s="17"/>
      <c r="U695" s="17"/>
      <c r="V695" s="17"/>
    </row>
    <row r="696" spans="1:22" x14ac:dyDescent="0.35">
      <c r="A696" s="16"/>
      <c r="B696" s="16"/>
      <c r="C696" s="16"/>
      <c r="D696" s="16"/>
      <c r="E696" s="17"/>
      <c r="F696" s="17"/>
      <c r="G696" s="17"/>
      <c r="H696" s="17"/>
      <c r="I696" s="17"/>
      <c r="J696" s="17"/>
      <c r="K696" s="17"/>
      <c r="L696" s="17"/>
      <c r="M696" s="34"/>
      <c r="N696" s="34"/>
      <c r="O696" s="34"/>
      <c r="P696" s="17"/>
      <c r="Q696" s="17"/>
      <c r="R696" s="17"/>
      <c r="S696" s="17"/>
      <c r="T696" s="17"/>
      <c r="U696" s="17"/>
      <c r="V696" s="17"/>
    </row>
    <row r="697" spans="1:22" x14ac:dyDescent="0.35">
      <c r="A697" s="16"/>
      <c r="B697" s="16"/>
      <c r="C697" s="16"/>
      <c r="D697" s="16"/>
      <c r="E697" s="17"/>
      <c r="F697" s="17"/>
      <c r="G697" s="17"/>
      <c r="H697" s="17"/>
      <c r="I697" s="17"/>
      <c r="J697" s="17"/>
      <c r="K697" s="17"/>
      <c r="L697" s="17"/>
      <c r="M697" s="34"/>
      <c r="N697" s="34"/>
      <c r="O697" s="34"/>
      <c r="P697" s="17"/>
      <c r="Q697" s="17"/>
      <c r="R697" s="17"/>
      <c r="S697" s="17"/>
      <c r="T697" s="17"/>
      <c r="U697" s="17"/>
      <c r="V697" s="17"/>
    </row>
    <row r="698" spans="1:22" x14ac:dyDescent="0.35">
      <c r="A698" s="16"/>
      <c r="B698" s="16"/>
      <c r="C698" s="16"/>
      <c r="D698" s="16"/>
      <c r="E698" s="17"/>
      <c r="F698" s="17"/>
      <c r="G698" s="17"/>
      <c r="H698" s="17"/>
      <c r="I698" s="17"/>
      <c r="J698" s="17"/>
      <c r="K698" s="17"/>
      <c r="L698" s="17"/>
      <c r="M698" s="34"/>
      <c r="N698" s="34"/>
      <c r="O698" s="34"/>
      <c r="P698" s="17"/>
      <c r="Q698" s="17"/>
      <c r="R698" s="17"/>
      <c r="S698" s="17"/>
      <c r="T698" s="17"/>
      <c r="U698" s="17"/>
      <c r="V698" s="17"/>
    </row>
    <row r="699" spans="1:22" x14ac:dyDescent="0.35">
      <c r="A699" s="16"/>
      <c r="B699" s="16"/>
      <c r="C699" s="16"/>
      <c r="D699" s="16"/>
      <c r="E699" s="17"/>
      <c r="F699" s="17"/>
      <c r="G699" s="17"/>
      <c r="H699" s="17"/>
      <c r="I699" s="17"/>
      <c r="J699" s="17"/>
      <c r="K699" s="17"/>
      <c r="L699" s="17"/>
      <c r="M699" s="34"/>
      <c r="N699" s="34"/>
      <c r="O699" s="34"/>
      <c r="P699" s="17"/>
      <c r="Q699" s="17"/>
      <c r="R699" s="17"/>
      <c r="S699" s="17"/>
      <c r="T699" s="17"/>
      <c r="U699" s="17"/>
      <c r="V699" s="17"/>
    </row>
    <row r="700" spans="1:22" x14ac:dyDescent="0.35">
      <c r="A700" s="16"/>
      <c r="B700" s="16"/>
      <c r="C700" s="16"/>
      <c r="D700" s="16"/>
      <c r="E700" s="17"/>
      <c r="F700" s="17"/>
      <c r="G700" s="17"/>
      <c r="H700" s="17"/>
      <c r="I700" s="17"/>
      <c r="J700" s="17"/>
      <c r="K700" s="17"/>
      <c r="L700" s="17"/>
      <c r="M700" s="34"/>
      <c r="N700" s="34"/>
      <c r="O700" s="34"/>
      <c r="P700" s="17"/>
      <c r="Q700" s="17"/>
      <c r="R700" s="17"/>
      <c r="S700" s="17"/>
      <c r="T700" s="17"/>
      <c r="U700" s="17"/>
      <c r="V700" s="17"/>
    </row>
    <row r="701" spans="1:22" x14ac:dyDescent="0.35">
      <c r="A701" s="16"/>
      <c r="B701" s="16"/>
      <c r="C701" s="16"/>
      <c r="D701" s="16"/>
      <c r="E701" s="17"/>
      <c r="F701" s="17"/>
      <c r="G701" s="17"/>
      <c r="H701" s="17"/>
      <c r="I701" s="17"/>
      <c r="J701" s="17"/>
      <c r="K701" s="17"/>
      <c r="L701" s="17"/>
      <c r="M701" s="34"/>
      <c r="N701" s="34"/>
      <c r="O701" s="34"/>
      <c r="P701" s="17"/>
      <c r="Q701" s="17"/>
      <c r="R701" s="17"/>
      <c r="S701" s="17"/>
      <c r="T701" s="17"/>
      <c r="U701" s="17"/>
      <c r="V701" s="17"/>
    </row>
    <row r="702" spans="1:22" x14ac:dyDescent="0.35">
      <c r="A702" s="16"/>
      <c r="B702" s="16"/>
      <c r="C702" s="16"/>
      <c r="D702" s="16"/>
      <c r="E702" s="17"/>
      <c r="F702" s="17"/>
      <c r="G702" s="17"/>
      <c r="H702" s="17"/>
      <c r="I702" s="17"/>
      <c r="J702" s="17"/>
      <c r="K702" s="17"/>
      <c r="L702" s="17"/>
      <c r="M702" s="34"/>
      <c r="N702" s="34"/>
      <c r="O702" s="34"/>
      <c r="P702" s="17"/>
      <c r="Q702" s="17"/>
      <c r="R702" s="17"/>
      <c r="S702" s="17"/>
      <c r="T702" s="17"/>
      <c r="U702" s="17"/>
      <c r="V702" s="17"/>
    </row>
    <row r="703" spans="1:22" x14ac:dyDescent="0.35">
      <c r="A703" s="16"/>
      <c r="B703" s="16"/>
      <c r="C703" s="16"/>
      <c r="D703" s="16"/>
      <c r="E703" s="17"/>
      <c r="F703" s="17"/>
      <c r="G703" s="17"/>
      <c r="H703" s="17"/>
      <c r="I703" s="17"/>
      <c r="J703" s="17"/>
      <c r="K703" s="17"/>
      <c r="L703" s="17"/>
      <c r="M703" s="34"/>
      <c r="N703" s="34"/>
      <c r="O703" s="34"/>
      <c r="P703" s="17"/>
      <c r="Q703" s="17"/>
      <c r="R703" s="17"/>
      <c r="S703" s="17"/>
      <c r="T703" s="17"/>
      <c r="U703" s="17"/>
      <c r="V703" s="17"/>
    </row>
    <row r="704" spans="1:22" x14ac:dyDescent="0.35">
      <c r="A704" s="16"/>
      <c r="B704" s="16"/>
      <c r="C704" s="16"/>
      <c r="D704" s="16"/>
      <c r="E704" s="17"/>
      <c r="F704" s="17"/>
      <c r="G704" s="17"/>
      <c r="H704" s="17"/>
      <c r="I704" s="17"/>
      <c r="J704" s="17"/>
      <c r="K704" s="17"/>
      <c r="L704" s="17"/>
      <c r="M704" s="34"/>
      <c r="N704" s="34"/>
      <c r="O704" s="34"/>
      <c r="P704" s="17"/>
      <c r="Q704" s="17"/>
      <c r="R704" s="17"/>
      <c r="S704" s="17"/>
      <c r="T704" s="17"/>
      <c r="U704" s="17"/>
      <c r="V704" s="17"/>
    </row>
    <row r="705" spans="1:22" x14ac:dyDescent="0.35">
      <c r="A705" s="16"/>
      <c r="B705" s="16"/>
      <c r="C705" s="16"/>
      <c r="D705" s="16"/>
      <c r="E705" s="17"/>
      <c r="F705" s="17"/>
      <c r="G705" s="17"/>
      <c r="H705" s="17"/>
      <c r="I705" s="17"/>
      <c r="J705" s="17"/>
      <c r="K705" s="17"/>
      <c r="L705" s="17"/>
      <c r="M705" s="34"/>
      <c r="N705" s="34"/>
      <c r="O705" s="34"/>
      <c r="P705" s="17"/>
      <c r="Q705" s="17"/>
      <c r="R705" s="17"/>
      <c r="S705" s="17"/>
      <c r="T705" s="17"/>
      <c r="U705" s="17"/>
      <c r="V705" s="17"/>
    </row>
    <row r="706" spans="1:22" x14ac:dyDescent="0.35">
      <c r="A706" s="16"/>
      <c r="B706" s="16"/>
      <c r="C706" s="16"/>
      <c r="D706" s="16"/>
      <c r="E706" s="17"/>
      <c r="F706" s="17"/>
      <c r="G706" s="17"/>
      <c r="H706" s="17"/>
      <c r="I706" s="17"/>
      <c r="J706" s="17"/>
      <c r="K706" s="17"/>
      <c r="L706" s="17"/>
      <c r="M706" s="34"/>
      <c r="N706" s="34"/>
      <c r="O706" s="34"/>
      <c r="P706" s="17"/>
      <c r="Q706" s="17"/>
      <c r="R706" s="17"/>
      <c r="S706" s="17"/>
      <c r="T706" s="17"/>
      <c r="U706" s="17"/>
      <c r="V706" s="17"/>
    </row>
    <row r="707" spans="1:22" x14ac:dyDescent="0.35">
      <c r="A707" s="16"/>
      <c r="B707" s="16"/>
      <c r="C707" s="16"/>
      <c r="D707" s="16"/>
      <c r="E707" s="17"/>
      <c r="F707" s="17"/>
      <c r="G707" s="17"/>
      <c r="H707" s="17"/>
      <c r="I707" s="17"/>
      <c r="J707" s="17"/>
      <c r="K707" s="17"/>
      <c r="L707" s="17"/>
      <c r="M707" s="34"/>
      <c r="N707" s="34"/>
      <c r="O707" s="34"/>
      <c r="P707" s="17"/>
      <c r="Q707" s="17"/>
      <c r="R707" s="17"/>
      <c r="S707" s="17"/>
      <c r="T707" s="17"/>
      <c r="U707" s="17"/>
      <c r="V707" s="17"/>
    </row>
    <row r="708" spans="1:22" x14ac:dyDescent="0.35">
      <c r="A708" s="16"/>
      <c r="B708" s="16"/>
      <c r="C708" s="16"/>
      <c r="D708" s="16"/>
      <c r="E708" s="17"/>
      <c r="F708" s="17"/>
      <c r="G708" s="17"/>
      <c r="H708" s="17"/>
      <c r="I708" s="17"/>
      <c r="J708" s="17"/>
      <c r="K708" s="17"/>
      <c r="L708" s="17"/>
      <c r="M708" s="34"/>
      <c r="N708" s="34"/>
      <c r="O708" s="34"/>
      <c r="P708" s="17"/>
      <c r="Q708" s="17"/>
      <c r="R708" s="17"/>
      <c r="S708" s="17"/>
      <c r="T708" s="17"/>
      <c r="U708" s="17"/>
      <c r="V708" s="17"/>
    </row>
    <row r="709" spans="1:22" x14ac:dyDescent="0.35">
      <c r="A709" s="16"/>
      <c r="B709" s="16"/>
      <c r="C709" s="16"/>
      <c r="D709" s="16"/>
      <c r="E709" s="17"/>
      <c r="F709" s="17"/>
      <c r="G709" s="17"/>
      <c r="H709" s="17"/>
      <c r="I709" s="17"/>
      <c r="J709" s="17"/>
      <c r="K709" s="17"/>
      <c r="L709" s="17"/>
      <c r="M709" s="34"/>
      <c r="N709" s="34"/>
      <c r="O709" s="34"/>
      <c r="P709" s="17"/>
      <c r="Q709" s="17"/>
      <c r="R709" s="17"/>
      <c r="S709" s="17"/>
      <c r="T709" s="17"/>
      <c r="U709" s="17"/>
      <c r="V709" s="17"/>
    </row>
    <row r="710" spans="1:22" x14ac:dyDescent="0.35">
      <c r="A710" s="16"/>
      <c r="B710" s="16"/>
      <c r="C710" s="16"/>
      <c r="D710" s="16"/>
      <c r="E710" s="17"/>
      <c r="F710" s="17"/>
      <c r="G710" s="17"/>
      <c r="H710" s="17"/>
      <c r="I710" s="17"/>
      <c r="J710" s="17"/>
      <c r="K710" s="17"/>
      <c r="L710" s="17"/>
      <c r="M710" s="34"/>
      <c r="N710" s="34"/>
      <c r="O710" s="34"/>
      <c r="P710" s="17"/>
      <c r="Q710" s="17"/>
      <c r="R710" s="17"/>
      <c r="S710" s="17"/>
      <c r="T710" s="17"/>
      <c r="U710" s="17"/>
      <c r="V710" s="17"/>
    </row>
    <row r="711" spans="1:22" x14ac:dyDescent="0.35">
      <c r="A711" s="16"/>
      <c r="B711" s="16"/>
      <c r="C711" s="16"/>
      <c r="D711" s="16"/>
      <c r="E711" s="17"/>
      <c r="F711" s="17"/>
      <c r="G711" s="17"/>
      <c r="H711" s="17"/>
      <c r="I711" s="17"/>
      <c r="J711" s="17"/>
      <c r="K711" s="17"/>
      <c r="L711" s="17"/>
      <c r="M711" s="34"/>
      <c r="N711" s="34"/>
      <c r="O711" s="34"/>
      <c r="P711" s="17"/>
      <c r="Q711" s="17"/>
      <c r="R711" s="17"/>
      <c r="S711" s="17"/>
      <c r="T711" s="17"/>
      <c r="U711" s="17"/>
      <c r="V711" s="17"/>
    </row>
    <row r="712" spans="1:22" x14ac:dyDescent="0.35">
      <c r="A712" s="16"/>
      <c r="B712" s="16"/>
      <c r="C712" s="16"/>
      <c r="D712" s="16"/>
      <c r="E712" s="17"/>
      <c r="F712" s="17"/>
      <c r="G712" s="17"/>
      <c r="H712" s="17"/>
      <c r="I712" s="17"/>
      <c r="J712" s="17"/>
      <c r="K712" s="17"/>
      <c r="L712" s="17"/>
      <c r="M712" s="34"/>
      <c r="N712" s="34"/>
      <c r="O712" s="34"/>
      <c r="P712" s="17"/>
      <c r="Q712" s="17"/>
      <c r="R712" s="17"/>
      <c r="S712" s="17"/>
      <c r="T712" s="17"/>
      <c r="U712" s="17"/>
      <c r="V712" s="17"/>
    </row>
    <row r="713" spans="1:22" x14ac:dyDescent="0.35">
      <c r="A713" s="16"/>
      <c r="B713" s="16"/>
      <c r="C713" s="16"/>
      <c r="D713" s="16"/>
      <c r="E713" s="17"/>
      <c r="F713" s="17"/>
      <c r="G713" s="17"/>
      <c r="H713" s="17"/>
      <c r="I713" s="17"/>
      <c r="J713" s="17"/>
      <c r="K713" s="17"/>
      <c r="L713" s="17"/>
      <c r="M713" s="34"/>
      <c r="N713" s="34"/>
      <c r="O713" s="34"/>
      <c r="P713" s="17"/>
      <c r="Q713" s="17"/>
      <c r="R713" s="17"/>
      <c r="S713" s="17"/>
      <c r="T713" s="17"/>
      <c r="U713" s="17"/>
      <c r="V713" s="17"/>
    </row>
    <row r="714" spans="1:22" x14ac:dyDescent="0.35">
      <c r="A714" s="16"/>
      <c r="B714" s="16"/>
      <c r="C714" s="16"/>
      <c r="D714" s="16"/>
      <c r="E714" s="17"/>
      <c r="F714" s="17"/>
      <c r="G714" s="17"/>
      <c r="H714" s="17"/>
      <c r="I714" s="17"/>
      <c r="J714" s="17"/>
      <c r="K714" s="17"/>
      <c r="L714" s="17"/>
      <c r="M714" s="34"/>
      <c r="N714" s="34"/>
      <c r="O714" s="34"/>
      <c r="P714" s="17"/>
      <c r="Q714" s="17"/>
      <c r="R714" s="17"/>
      <c r="S714" s="17"/>
      <c r="T714" s="17"/>
      <c r="U714" s="17"/>
      <c r="V714" s="17"/>
    </row>
    <row r="715" spans="1:22" x14ac:dyDescent="0.35">
      <c r="A715" s="16"/>
      <c r="B715" s="16"/>
      <c r="C715" s="16"/>
      <c r="D715" s="16"/>
      <c r="E715" s="17"/>
      <c r="F715" s="17"/>
      <c r="G715" s="17"/>
      <c r="H715" s="17"/>
      <c r="I715" s="17"/>
      <c r="J715" s="17"/>
      <c r="K715" s="17"/>
      <c r="L715" s="17"/>
      <c r="M715" s="34"/>
      <c r="N715" s="34"/>
      <c r="O715" s="34"/>
      <c r="P715" s="17"/>
      <c r="Q715" s="17"/>
      <c r="R715" s="17"/>
      <c r="S715" s="17"/>
      <c r="T715" s="17"/>
      <c r="U715" s="17"/>
      <c r="V715" s="17"/>
    </row>
    <row r="716" spans="1:22" x14ac:dyDescent="0.35">
      <c r="A716" s="16"/>
      <c r="B716" s="16"/>
      <c r="C716" s="16"/>
      <c r="D716" s="16"/>
      <c r="E716" s="17"/>
      <c r="F716" s="17"/>
      <c r="G716" s="17"/>
      <c r="H716" s="17"/>
      <c r="I716" s="17"/>
      <c r="J716" s="17"/>
      <c r="K716" s="17"/>
      <c r="L716" s="17"/>
      <c r="M716" s="34"/>
      <c r="N716" s="34"/>
      <c r="O716" s="34"/>
      <c r="P716" s="17"/>
      <c r="Q716" s="17"/>
      <c r="R716" s="17"/>
      <c r="S716" s="17"/>
      <c r="T716" s="17"/>
      <c r="U716" s="17"/>
      <c r="V716" s="17"/>
    </row>
    <row r="717" spans="1:22" x14ac:dyDescent="0.35">
      <c r="A717" s="16"/>
      <c r="B717" s="16"/>
      <c r="C717" s="16"/>
      <c r="D717" s="16"/>
      <c r="E717" s="17"/>
      <c r="F717" s="17"/>
      <c r="G717" s="17"/>
      <c r="H717" s="17"/>
      <c r="I717" s="17"/>
      <c r="J717" s="17"/>
      <c r="K717" s="17"/>
      <c r="L717" s="17"/>
      <c r="M717" s="34"/>
      <c r="N717" s="34"/>
      <c r="O717" s="34"/>
      <c r="P717" s="17"/>
      <c r="Q717" s="17"/>
      <c r="R717" s="17"/>
      <c r="S717" s="17"/>
      <c r="T717" s="17"/>
      <c r="U717" s="17"/>
      <c r="V717" s="17"/>
    </row>
    <row r="718" spans="1:22" x14ac:dyDescent="0.35">
      <c r="A718" s="16"/>
      <c r="B718" s="16"/>
      <c r="C718" s="16"/>
      <c r="D718" s="16"/>
      <c r="E718" s="17"/>
      <c r="F718" s="17"/>
      <c r="G718" s="17"/>
      <c r="H718" s="17"/>
      <c r="I718" s="17"/>
      <c r="J718" s="17"/>
      <c r="K718" s="17"/>
      <c r="L718" s="17"/>
      <c r="M718" s="34"/>
      <c r="N718" s="34"/>
      <c r="O718" s="34"/>
      <c r="P718" s="17"/>
      <c r="Q718" s="17"/>
      <c r="R718" s="17"/>
      <c r="S718" s="17"/>
      <c r="T718" s="17"/>
      <c r="U718" s="17"/>
      <c r="V718" s="17"/>
    </row>
    <row r="719" spans="1:22" x14ac:dyDescent="0.35">
      <c r="A719" s="16"/>
      <c r="B719" s="16"/>
      <c r="C719" s="16"/>
      <c r="D719" s="16"/>
      <c r="E719" s="17"/>
      <c r="F719" s="17"/>
      <c r="G719" s="17"/>
      <c r="H719" s="17"/>
      <c r="I719" s="17"/>
      <c r="J719" s="17"/>
      <c r="K719" s="17"/>
      <c r="L719" s="17"/>
      <c r="M719" s="34"/>
      <c r="N719" s="34"/>
      <c r="O719" s="34"/>
      <c r="P719" s="17"/>
      <c r="Q719" s="17"/>
      <c r="R719" s="17"/>
      <c r="S719" s="17"/>
      <c r="T719" s="17"/>
      <c r="U719" s="17"/>
      <c r="V719" s="17"/>
    </row>
    <row r="720" spans="1:22" x14ac:dyDescent="0.35">
      <c r="A720" s="16"/>
      <c r="B720" s="16"/>
      <c r="C720" s="16"/>
      <c r="D720" s="16"/>
      <c r="E720" s="17"/>
      <c r="F720" s="17"/>
      <c r="G720" s="17"/>
      <c r="H720" s="17"/>
      <c r="I720" s="17"/>
      <c r="J720" s="17"/>
      <c r="K720" s="17"/>
      <c r="L720" s="17"/>
      <c r="M720" s="34"/>
      <c r="N720" s="34"/>
      <c r="O720" s="34"/>
      <c r="P720" s="17"/>
      <c r="Q720" s="17"/>
      <c r="R720" s="17"/>
      <c r="S720" s="17"/>
      <c r="T720" s="17"/>
      <c r="U720" s="17"/>
      <c r="V720" s="17"/>
    </row>
    <row r="721" spans="1:22" x14ac:dyDescent="0.35">
      <c r="A721" s="16"/>
      <c r="B721" s="16"/>
      <c r="C721" s="16"/>
      <c r="D721" s="16"/>
      <c r="E721" s="17"/>
      <c r="F721" s="17"/>
      <c r="G721" s="17"/>
      <c r="H721" s="17"/>
      <c r="I721" s="17"/>
      <c r="J721" s="17"/>
      <c r="K721" s="17"/>
      <c r="L721" s="17"/>
      <c r="M721" s="34"/>
      <c r="N721" s="34"/>
      <c r="O721" s="34"/>
      <c r="P721" s="17"/>
      <c r="Q721" s="17"/>
      <c r="R721" s="17"/>
      <c r="S721" s="17"/>
      <c r="T721" s="17"/>
      <c r="U721" s="17"/>
      <c r="V721" s="17"/>
    </row>
    <row r="722" spans="1:22" x14ac:dyDescent="0.35">
      <c r="A722" s="16"/>
      <c r="B722" s="16"/>
      <c r="C722" s="16"/>
      <c r="D722" s="16"/>
      <c r="E722" s="17"/>
      <c r="F722" s="17"/>
      <c r="G722" s="17"/>
      <c r="H722" s="17"/>
      <c r="I722" s="17"/>
      <c r="J722" s="17"/>
      <c r="K722" s="17"/>
      <c r="L722" s="17"/>
      <c r="M722" s="34"/>
      <c r="N722" s="34"/>
      <c r="O722" s="34"/>
      <c r="P722" s="17"/>
      <c r="Q722" s="17"/>
      <c r="R722" s="17"/>
      <c r="S722" s="17"/>
      <c r="T722" s="17"/>
      <c r="U722" s="17"/>
      <c r="V722" s="17"/>
    </row>
    <row r="723" spans="1:22" x14ac:dyDescent="0.35">
      <c r="A723" s="16"/>
      <c r="B723" s="16"/>
      <c r="C723" s="16"/>
      <c r="D723" s="16"/>
      <c r="E723" s="17"/>
      <c r="F723" s="17"/>
      <c r="G723" s="17"/>
      <c r="H723" s="17"/>
      <c r="I723" s="17"/>
      <c r="J723" s="17"/>
      <c r="K723" s="17"/>
      <c r="L723" s="17"/>
      <c r="M723" s="34"/>
      <c r="N723" s="34"/>
      <c r="O723" s="34"/>
      <c r="P723" s="17"/>
      <c r="Q723" s="17"/>
      <c r="R723" s="17"/>
      <c r="S723" s="17"/>
      <c r="T723" s="17"/>
      <c r="U723" s="17"/>
      <c r="V723" s="17"/>
    </row>
    <row r="724" spans="1:22" x14ac:dyDescent="0.35">
      <c r="A724" s="16"/>
      <c r="B724" s="16"/>
      <c r="C724" s="16"/>
      <c r="D724" s="16"/>
      <c r="E724" s="17"/>
      <c r="F724" s="17"/>
      <c r="G724" s="17"/>
      <c r="H724" s="17"/>
      <c r="I724" s="17"/>
      <c r="J724" s="17"/>
      <c r="K724" s="17"/>
      <c r="L724" s="17"/>
      <c r="M724" s="34"/>
      <c r="N724" s="34"/>
      <c r="O724" s="34"/>
      <c r="P724" s="17"/>
      <c r="Q724" s="17"/>
      <c r="R724" s="17"/>
      <c r="S724" s="17"/>
      <c r="T724" s="17"/>
      <c r="U724" s="17"/>
      <c r="V724" s="17"/>
    </row>
    <row r="725" spans="1:22" x14ac:dyDescent="0.35">
      <c r="A725" s="16"/>
      <c r="B725" s="16"/>
      <c r="C725" s="16"/>
      <c r="D725" s="16"/>
      <c r="E725" s="17"/>
      <c r="F725" s="17"/>
      <c r="G725" s="17"/>
      <c r="H725" s="17"/>
      <c r="I725" s="17"/>
      <c r="J725" s="17"/>
      <c r="K725" s="17"/>
      <c r="L725" s="17"/>
      <c r="M725" s="34"/>
      <c r="N725" s="34"/>
      <c r="O725" s="34"/>
      <c r="P725" s="17"/>
      <c r="Q725" s="17"/>
      <c r="R725" s="17"/>
      <c r="S725" s="17"/>
      <c r="T725" s="17"/>
      <c r="U725" s="17"/>
      <c r="V725" s="17"/>
    </row>
    <row r="726" spans="1:22" x14ac:dyDescent="0.35">
      <c r="A726" s="16"/>
      <c r="B726" s="16"/>
      <c r="C726" s="16"/>
      <c r="D726" s="16"/>
      <c r="E726" s="17"/>
      <c r="F726" s="17"/>
      <c r="G726" s="17"/>
      <c r="H726" s="17"/>
      <c r="I726" s="17"/>
      <c r="J726" s="17"/>
      <c r="K726" s="17"/>
      <c r="L726" s="17"/>
      <c r="M726" s="34"/>
      <c r="N726" s="34"/>
      <c r="O726" s="34"/>
      <c r="P726" s="17"/>
      <c r="Q726" s="17"/>
      <c r="R726" s="17"/>
      <c r="S726" s="17"/>
      <c r="T726" s="17"/>
      <c r="U726" s="17"/>
      <c r="V726" s="17"/>
    </row>
    <row r="727" spans="1:22" x14ac:dyDescent="0.35">
      <c r="A727" s="16"/>
      <c r="B727" s="16"/>
      <c r="C727" s="16"/>
      <c r="D727" s="16"/>
      <c r="E727" s="17"/>
      <c r="F727" s="17"/>
      <c r="G727" s="17"/>
      <c r="H727" s="17"/>
      <c r="I727" s="17"/>
      <c r="J727" s="17"/>
      <c r="K727" s="17"/>
      <c r="L727" s="17"/>
      <c r="M727" s="34"/>
      <c r="N727" s="34"/>
      <c r="O727" s="34"/>
      <c r="P727" s="17"/>
      <c r="Q727" s="17"/>
      <c r="R727" s="17"/>
      <c r="S727" s="17"/>
      <c r="T727" s="17"/>
      <c r="U727" s="17"/>
      <c r="V727" s="17"/>
    </row>
    <row r="728" spans="1:22" x14ac:dyDescent="0.35">
      <c r="A728" s="16"/>
      <c r="B728" s="16"/>
      <c r="C728" s="16"/>
      <c r="D728" s="16"/>
      <c r="E728" s="17"/>
      <c r="F728" s="17"/>
      <c r="G728" s="17"/>
      <c r="H728" s="17"/>
      <c r="I728" s="17"/>
      <c r="J728" s="17"/>
      <c r="K728" s="17"/>
      <c r="L728" s="17"/>
      <c r="M728" s="34"/>
      <c r="N728" s="34"/>
      <c r="O728" s="34"/>
      <c r="P728" s="17"/>
      <c r="Q728" s="17"/>
      <c r="R728" s="17"/>
      <c r="S728" s="17"/>
      <c r="T728" s="17"/>
      <c r="U728" s="17"/>
      <c r="V728" s="17"/>
    </row>
    <row r="729" spans="1:22" x14ac:dyDescent="0.35">
      <c r="A729" s="16"/>
      <c r="B729" s="16"/>
      <c r="C729" s="16"/>
      <c r="D729" s="16"/>
      <c r="E729" s="17"/>
      <c r="F729" s="17"/>
      <c r="G729" s="17"/>
      <c r="H729" s="17"/>
      <c r="I729" s="17"/>
      <c r="J729" s="17"/>
      <c r="K729" s="17"/>
      <c r="L729" s="17"/>
      <c r="M729" s="34"/>
      <c r="N729" s="34"/>
      <c r="O729" s="34"/>
      <c r="P729" s="17"/>
      <c r="Q729" s="17"/>
      <c r="R729" s="17"/>
      <c r="S729" s="17"/>
      <c r="T729" s="17"/>
      <c r="U729" s="17"/>
      <c r="V729" s="17"/>
    </row>
    <row r="730" spans="1:22" x14ac:dyDescent="0.35">
      <c r="A730" s="16"/>
      <c r="B730" s="16"/>
      <c r="C730" s="16"/>
      <c r="D730" s="16"/>
      <c r="E730" s="17"/>
      <c r="F730" s="17"/>
      <c r="G730" s="17"/>
      <c r="H730" s="17"/>
      <c r="I730" s="17"/>
      <c r="J730" s="17"/>
      <c r="K730" s="17"/>
      <c r="L730" s="17"/>
      <c r="M730" s="34"/>
      <c r="N730" s="34"/>
      <c r="O730" s="34"/>
      <c r="P730" s="17"/>
      <c r="Q730" s="17"/>
      <c r="R730" s="17"/>
      <c r="S730" s="17"/>
      <c r="T730" s="17"/>
      <c r="U730" s="17"/>
      <c r="V730" s="17"/>
    </row>
    <row r="731" spans="1:22" x14ac:dyDescent="0.35">
      <c r="A731" s="16"/>
      <c r="B731" s="16"/>
      <c r="C731" s="16"/>
      <c r="D731" s="16"/>
      <c r="E731" s="17"/>
      <c r="F731" s="17"/>
      <c r="G731" s="17"/>
      <c r="H731" s="17"/>
      <c r="I731" s="17"/>
      <c r="J731" s="17"/>
      <c r="K731" s="17"/>
      <c r="L731" s="17"/>
      <c r="M731" s="34"/>
      <c r="N731" s="34"/>
      <c r="O731" s="34"/>
      <c r="P731" s="17"/>
      <c r="Q731" s="17"/>
      <c r="R731" s="17"/>
      <c r="S731" s="17"/>
      <c r="T731" s="17"/>
      <c r="U731" s="17"/>
      <c r="V731" s="17"/>
    </row>
    <row r="732" spans="1:22" x14ac:dyDescent="0.35">
      <c r="A732" s="16"/>
      <c r="B732" s="16"/>
      <c r="C732" s="16"/>
      <c r="D732" s="16"/>
      <c r="E732" s="17"/>
      <c r="F732" s="17"/>
      <c r="G732" s="17"/>
      <c r="H732" s="17"/>
      <c r="I732" s="17"/>
      <c r="J732" s="17"/>
      <c r="K732" s="17"/>
      <c r="L732" s="17"/>
      <c r="M732" s="34"/>
      <c r="N732" s="34"/>
      <c r="O732" s="34"/>
      <c r="P732" s="17"/>
      <c r="Q732" s="17"/>
      <c r="R732" s="17"/>
      <c r="S732" s="17"/>
      <c r="T732" s="17"/>
      <c r="U732" s="17"/>
      <c r="V732" s="17"/>
    </row>
    <row r="733" spans="1:22" x14ac:dyDescent="0.35">
      <c r="A733" s="16"/>
      <c r="B733" s="16"/>
      <c r="C733" s="16"/>
      <c r="D733" s="16"/>
      <c r="E733" s="17"/>
      <c r="F733" s="17"/>
      <c r="G733" s="17"/>
      <c r="H733" s="17"/>
      <c r="I733" s="17"/>
      <c r="J733" s="17"/>
      <c r="K733" s="17"/>
      <c r="L733" s="17"/>
      <c r="M733" s="34"/>
      <c r="N733" s="34"/>
      <c r="O733" s="34"/>
      <c r="P733" s="17"/>
      <c r="Q733" s="17"/>
      <c r="R733" s="17"/>
      <c r="S733" s="17"/>
      <c r="T733" s="17"/>
      <c r="U733" s="17"/>
      <c r="V733" s="17"/>
    </row>
    <row r="734" spans="1:22" x14ac:dyDescent="0.35">
      <c r="A734" s="16"/>
      <c r="B734" s="16"/>
      <c r="C734" s="16"/>
      <c r="D734" s="16"/>
      <c r="E734" s="17"/>
      <c r="F734" s="17"/>
      <c r="G734" s="17"/>
      <c r="H734" s="17"/>
      <c r="I734" s="17"/>
      <c r="J734" s="17"/>
      <c r="K734" s="17"/>
      <c r="L734" s="17"/>
      <c r="M734" s="34"/>
      <c r="N734" s="34"/>
      <c r="O734" s="34"/>
      <c r="P734" s="17"/>
      <c r="Q734" s="17"/>
      <c r="R734" s="17"/>
      <c r="S734" s="17"/>
      <c r="T734" s="17"/>
      <c r="U734" s="17"/>
      <c r="V734" s="17"/>
    </row>
    <row r="735" spans="1:22" x14ac:dyDescent="0.35">
      <c r="A735" s="16"/>
      <c r="B735" s="16"/>
      <c r="C735" s="16"/>
      <c r="D735" s="16"/>
      <c r="E735" s="17"/>
      <c r="F735" s="17"/>
      <c r="G735" s="17"/>
      <c r="H735" s="17"/>
      <c r="I735" s="17"/>
      <c r="J735" s="17"/>
      <c r="K735" s="17"/>
      <c r="L735" s="17"/>
      <c r="M735" s="34"/>
      <c r="N735" s="34"/>
      <c r="O735" s="34"/>
      <c r="P735" s="17"/>
      <c r="Q735" s="17"/>
      <c r="R735" s="17"/>
      <c r="S735" s="17"/>
      <c r="T735" s="17"/>
      <c r="U735" s="17"/>
      <c r="V735" s="17"/>
    </row>
    <row r="736" spans="1:22" x14ac:dyDescent="0.35">
      <c r="A736" s="16"/>
      <c r="B736" s="16"/>
      <c r="C736" s="16"/>
      <c r="D736" s="16"/>
      <c r="E736" s="17"/>
      <c r="F736" s="17"/>
      <c r="G736" s="17"/>
      <c r="H736" s="17"/>
      <c r="I736" s="17"/>
      <c r="J736" s="17"/>
      <c r="K736" s="17"/>
      <c r="L736" s="17"/>
      <c r="M736" s="34"/>
      <c r="N736" s="34"/>
      <c r="O736" s="34"/>
      <c r="P736" s="17"/>
      <c r="Q736" s="17"/>
      <c r="R736" s="17"/>
      <c r="S736" s="17"/>
      <c r="T736" s="17"/>
      <c r="U736" s="17"/>
      <c r="V736" s="17"/>
    </row>
    <row r="737" spans="1:22" x14ac:dyDescent="0.35">
      <c r="A737" s="16"/>
      <c r="B737" s="16"/>
      <c r="C737" s="16"/>
      <c r="D737" s="16"/>
      <c r="E737" s="17"/>
      <c r="F737" s="17"/>
      <c r="G737" s="17"/>
      <c r="H737" s="17"/>
      <c r="I737" s="17"/>
      <c r="J737" s="17"/>
      <c r="K737" s="17"/>
      <c r="L737" s="17"/>
      <c r="M737" s="34"/>
      <c r="N737" s="34"/>
      <c r="O737" s="34"/>
      <c r="P737" s="17"/>
      <c r="Q737" s="17"/>
      <c r="R737" s="17"/>
      <c r="S737" s="17"/>
      <c r="T737" s="17"/>
      <c r="U737" s="17"/>
      <c r="V737" s="17"/>
    </row>
    <row r="738" spans="1:22" x14ac:dyDescent="0.35">
      <c r="A738" s="16"/>
      <c r="B738" s="16"/>
      <c r="C738" s="16"/>
      <c r="D738" s="16"/>
      <c r="E738" s="17"/>
      <c r="F738" s="17"/>
      <c r="G738" s="17"/>
      <c r="H738" s="17"/>
      <c r="I738" s="17"/>
      <c r="J738" s="17"/>
      <c r="K738" s="17"/>
      <c r="L738" s="17"/>
      <c r="M738" s="34"/>
      <c r="N738" s="34"/>
      <c r="O738" s="34"/>
      <c r="P738" s="17"/>
      <c r="Q738" s="17"/>
      <c r="R738" s="17"/>
      <c r="S738" s="17"/>
      <c r="T738" s="17"/>
      <c r="U738" s="17"/>
      <c r="V738" s="17"/>
    </row>
    <row r="739" spans="1:22" x14ac:dyDescent="0.35">
      <c r="A739" s="16"/>
      <c r="B739" s="16"/>
      <c r="C739" s="16"/>
      <c r="D739" s="16"/>
      <c r="E739" s="17"/>
      <c r="F739" s="17"/>
      <c r="G739" s="17"/>
      <c r="H739" s="17"/>
      <c r="I739" s="17"/>
      <c r="J739" s="17"/>
      <c r="K739" s="17"/>
      <c r="L739" s="17"/>
      <c r="M739" s="34"/>
      <c r="N739" s="34"/>
      <c r="O739" s="34"/>
      <c r="P739" s="17"/>
      <c r="Q739" s="17"/>
      <c r="R739" s="17"/>
      <c r="S739" s="17"/>
      <c r="T739" s="17"/>
      <c r="U739" s="17"/>
      <c r="V739" s="17"/>
    </row>
    <row r="740" spans="1:22" x14ac:dyDescent="0.35">
      <c r="A740" s="16"/>
      <c r="B740" s="16"/>
      <c r="C740" s="16"/>
      <c r="D740" s="16"/>
      <c r="E740" s="17"/>
      <c r="F740" s="17"/>
      <c r="G740" s="17"/>
      <c r="H740" s="17"/>
      <c r="I740" s="17"/>
      <c r="J740" s="17"/>
      <c r="K740" s="17"/>
      <c r="L740" s="17"/>
      <c r="M740" s="34"/>
      <c r="N740" s="34"/>
      <c r="O740" s="34"/>
      <c r="P740" s="17"/>
      <c r="Q740" s="17"/>
      <c r="R740" s="17"/>
      <c r="S740" s="17"/>
      <c r="T740" s="17"/>
      <c r="U740" s="17"/>
      <c r="V740" s="17"/>
    </row>
    <row r="741" spans="1:22" x14ac:dyDescent="0.35">
      <c r="A741" s="16"/>
      <c r="B741" s="16"/>
      <c r="C741" s="16"/>
      <c r="D741" s="16"/>
      <c r="E741" s="17"/>
      <c r="F741" s="17"/>
      <c r="G741" s="17"/>
      <c r="H741" s="17"/>
      <c r="I741" s="17"/>
      <c r="J741" s="17"/>
      <c r="K741" s="17"/>
      <c r="L741" s="17"/>
      <c r="M741" s="34"/>
      <c r="N741" s="34"/>
      <c r="O741" s="34"/>
      <c r="P741" s="17"/>
      <c r="Q741" s="17"/>
      <c r="R741" s="17"/>
      <c r="S741" s="17"/>
      <c r="T741" s="17"/>
      <c r="U741" s="17"/>
      <c r="V741" s="17"/>
    </row>
    <row r="742" spans="1:22" x14ac:dyDescent="0.35">
      <c r="A742" s="16"/>
      <c r="B742" s="16"/>
      <c r="C742" s="16"/>
      <c r="D742" s="16"/>
      <c r="E742" s="17"/>
      <c r="F742" s="17"/>
      <c r="G742" s="17"/>
      <c r="H742" s="17"/>
      <c r="I742" s="17"/>
      <c r="J742" s="17"/>
      <c r="K742" s="17"/>
      <c r="L742" s="17"/>
      <c r="M742" s="34"/>
      <c r="N742" s="34"/>
      <c r="O742" s="34"/>
      <c r="P742" s="17"/>
      <c r="Q742" s="17"/>
      <c r="R742" s="17"/>
      <c r="S742" s="17"/>
      <c r="T742" s="17"/>
      <c r="U742" s="17"/>
      <c r="V742" s="17"/>
    </row>
    <row r="743" spans="1:22" x14ac:dyDescent="0.35">
      <c r="A743" s="16"/>
      <c r="B743" s="16"/>
      <c r="C743" s="16"/>
      <c r="D743" s="16"/>
      <c r="E743" s="17"/>
      <c r="F743" s="17"/>
      <c r="G743" s="17"/>
      <c r="H743" s="17"/>
      <c r="I743" s="17"/>
      <c r="J743" s="17"/>
      <c r="K743" s="17"/>
      <c r="L743" s="17"/>
      <c r="M743" s="34"/>
      <c r="N743" s="34"/>
      <c r="O743" s="34"/>
      <c r="P743" s="17"/>
      <c r="Q743" s="17"/>
      <c r="R743" s="17"/>
      <c r="S743" s="17"/>
      <c r="T743" s="17"/>
      <c r="U743" s="17"/>
      <c r="V743" s="17"/>
    </row>
    <row r="744" spans="1:22" x14ac:dyDescent="0.35">
      <c r="A744" s="16"/>
      <c r="B744" s="16"/>
      <c r="C744" s="16"/>
      <c r="D744" s="16"/>
      <c r="E744" s="17"/>
      <c r="F744" s="17"/>
      <c r="G744" s="17"/>
      <c r="H744" s="17"/>
      <c r="I744" s="17"/>
      <c r="J744" s="17"/>
      <c r="K744" s="17"/>
      <c r="L744" s="17"/>
      <c r="M744" s="34"/>
      <c r="N744" s="34"/>
      <c r="O744" s="34"/>
      <c r="P744" s="17"/>
      <c r="Q744" s="17"/>
      <c r="R744" s="17"/>
      <c r="S744" s="17"/>
      <c r="T744" s="17"/>
      <c r="U744" s="17"/>
      <c r="V744" s="17"/>
    </row>
    <row r="745" spans="1:22" x14ac:dyDescent="0.35">
      <c r="A745" s="16"/>
      <c r="B745" s="16"/>
      <c r="C745" s="16"/>
      <c r="D745" s="16"/>
      <c r="E745" s="17"/>
      <c r="F745" s="17"/>
      <c r="G745" s="17"/>
      <c r="H745" s="17"/>
      <c r="I745" s="17"/>
      <c r="J745" s="17"/>
      <c r="K745" s="17"/>
      <c r="L745" s="17"/>
      <c r="M745" s="34"/>
      <c r="N745" s="34"/>
      <c r="O745" s="34"/>
      <c r="P745" s="17"/>
      <c r="Q745" s="17"/>
      <c r="R745" s="17"/>
      <c r="S745" s="17"/>
      <c r="T745" s="17"/>
      <c r="U745" s="17"/>
      <c r="V745" s="17"/>
    </row>
    <row r="746" spans="1:22" x14ac:dyDescent="0.35">
      <c r="A746" s="16"/>
      <c r="B746" s="16"/>
      <c r="C746" s="16"/>
      <c r="D746" s="16"/>
      <c r="E746" s="17"/>
      <c r="F746" s="17"/>
      <c r="G746" s="17"/>
      <c r="H746" s="17"/>
      <c r="I746" s="17"/>
      <c r="J746" s="17"/>
      <c r="K746" s="17"/>
      <c r="L746" s="17"/>
      <c r="M746" s="34"/>
      <c r="N746" s="34"/>
      <c r="O746" s="34"/>
      <c r="P746" s="17"/>
      <c r="Q746" s="17"/>
      <c r="R746" s="17"/>
      <c r="S746" s="17"/>
      <c r="T746" s="17"/>
      <c r="U746" s="17"/>
      <c r="V746" s="17"/>
    </row>
    <row r="747" spans="1:22" x14ac:dyDescent="0.35">
      <c r="A747" s="16"/>
      <c r="B747" s="16"/>
      <c r="C747" s="16"/>
      <c r="D747" s="16"/>
      <c r="E747" s="17"/>
      <c r="F747" s="17"/>
      <c r="G747" s="17"/>
      <c r="H747" s="17"/>
      <c r="I747" s="17"/>
      <c r="J747" s="17"/>
      <c r="K747" s="17"/>
      <c r="L747" s="17"/>
      <c r="M747" s="34"/>
      <c r="N747" s="34"/>
      <c r="O747" s="34"/>
      <c r="P747" s="17"/>
      <c r="Q747" s="17"/>
      <c r="R747" s="17"/>
      <c r="S747" s="17"/>
      <c r="T747" s="17"/>
      <c r="U747" s="17"/>
      <c r="V747" s="17"/>
    </row>
    <row r="748" spans="1:22" x14ac:dyDescent="0.35">
      <c r="A748" s="16"/>
      <c r="B748" s="16"/>
      <c r="C748" s="16"/>
      <c r="D748" s="16"/>
      <c r="E748" s="17"/>
      <c r="F748" s="17"/>
      <c r="G748" s="17"/>
      <c r="H748" s="17"/>
      <c r="I748" s="17"/>
      <c r="J748" s="17"/>
      <c r="K748" s="17"/>
      <c r="L748" s="17"/>
      <c r="M748" s="34"/>
      <c r="N748" s="34"/>
      <c r="O748" s="34"/>
      <c r="P748" s="17"/>
      <c r="Q748" s="17"/>
      <c r="R748" s="17"/>
      <c r="S748" s="17"/>
      <c r="T748" s="17"/>
      <c r="U748" s="17"/>
      <c r="V748" s="17"/>
    </row>
    <row r="749" spans="1:22" x14ac:dyDescent="0.35">
      <c r="A749" s="16"/>
      <c r="B749" s="16"/>
      <c r="C749" s="16"/>
      <c r="D749" s="16"/>
      <c r="E749" s="17"/>
      <c r="F749" s="17"/>
      <c r="G749" s="17"/>
      <c r="H749" s="17"/>
      <c r="I749" s="17"/>
      <c r="J749" s="17"/>
      <c r="K749" s="17"/>
      <c r="L749" s="17"/>
      <c r="M749" s="34"/>
      <c r="N749" s="34"/>
      <c r="O749" s="34"/>
      <c r="P749" s="17"/>
      <c r="Q749" s="17"/>
      <c r="R749" s="17"/>
      <c r="S749" s="17"/>
      <c r="T749" s="17"/>
      <c r="U749" s="17"/>
      <c r="V749" s="17"/>
    </row>
    <row r="750" spans="1:22" x14ac:dyDescent="0.35">
      <c r="A750" s="16"/>
      <c r="B750" s="16"/>
      <c r="C750" s="16"/>
      <c r="D750" s="16"/>
      <c r="E750" s="17"/>
      <c r="F750" s="17"/>
      <c r="G750" s="17"/>
      <c r="H750" s="17"/>
      <c r="I750" s="17"/>
      <c r="J750" s="17"/>
      <c r="K750" s="17"/>
      <c r="L750" s="17"/>
      <c r="M750" s="34"/>
      <c r="N750" s="34"/>
      <c r="O750" s="34"/>
      <c r="P750" s="17"/>
      <c r="Q750" s="17"/>
      <c r="R750" s="17"/>
      <c r="S750" s="17"/>
      <c r="T750" s="17"/>
      <c r="U750" s="17"/>
      <c r="V750" s="17"/>
    </row>
    <row r="751" spans="1:22" x14ac:dyDescent="0.35">
      <c r="A751" s="16"/>
      <c r="B751" s="16"/>
      <c r="C751" s="16"/>
      <c r="D751" s="16"/>
      <c r="E751" s="17"/>
      <c r="F751" s="17"/>
      <c r="G751" s="17"/>
      <c r="H751" s="17"/>
      <c r="I751" s="17"/>
      <c r="J751" s="17"/>
      <c r="K751" s="17"/>
      <c r="L751" s="17"/>
      <c r="M751" s="34"/>
      <c r="N751" s="34"/>
      <c r="O751" s="34"/>
      <c r="P751" s="17"/>
      <c r="Q751" s="17"/>
      <c r="R751" s="17"/>
      <c r="S751" s="17"/>
      <c r="T751" s="17"/>
      <c r="U751" s="17"/>
      <c r="V751" s="17"/>
    </row>
    <row r="752" spans="1:22" x14ac:dyDescent="0.35">
      <c r="A752" s="16"/>
      <c r="B752" s="16"/>
      <c r="C752" s="16"/>
      <c r="D752" s="16"/>
      <c r="E752" s="17"/>
      <c r="F752" s="17"/>
      <c r="G752" s="17"/>
      <c r="H752" s="17"/>
      <c r="I752" s="17"/>
      <c r="J752" s="17"/>
      <c r="K752" s="17"/>
      <c r="L752" s="17"/>
      <c r="M752" s="34"/>
      <c r="N752" s="34"/>
      <c r="O752" s="34"/>
      <c r="P752" s="17"/>
      <c r="Q752" s="17"/>
      <c r="R752" s="17"/>
      <c r="S752" s="17"/>
      <c r="T752" s="17"/>
      <c r="U752" s="17"/>
      <c r="V752" s="17"/>
    </row>
    <row r="753" spans="1:22" x14ac:dyDescent="0.35">
      <c r="A753" s="16"/>
      <c r="B753" s="16"/>
      <c r="C753" s="16"/>
      <c r="D753" s="16"/>
      <c r="E753" s="17"/>
      <c r="F753" s="17"/>
      <c r="G753" s="17"/>
      <c r="H753" s="17"/>
      <c r="I753" s="17"/>
      <c r="J753" s="17"/>
      <c r="K753" s="17"/>
      <c r="L753" s="17"/>
      <c r="M753" s="34"/>
      <c r="N753" s="34"/>
      <c r="O753" s="34"/>
      <c r="P753" s="17"/>
      <c r="Q753" s="17"/>
      <c r="R753" s="17"/>
      <c r="S753" s="17"/>
      <c r="T753" s="17"/>
      <c r="U753" s="17"/>
      <c r="V753" s="17"/>
    </row>
    <row r="754" spans="1:22" x14ac:dyDescent="0.35">
      <c r="A754" s="16"/>
      <c r="B754" s="16"/>
      <c r="C754" s="16"/>
      <c r="D754" s="16"/>
      <c r="E754" s="17"/>
      <c r="F754" s="17"/>
      <c r="G754" s="17"/>
      <c r="H754" s="17"/>
      <c r="I754" s="17"/>
      <c r="J754" s="17"/>
      <c r="K754" s="17"/>
      <c r="L754" s="17"/>
      <c r="M754" s="34"/>
      <c r="N754" s="34"/>
      <c r="O754" s="34"/>
      <c r="P754" s="17"/>
      <c r="Q754" s="17"/>
      <c r="R754" s="17"/>
      <c r="S754" s="17"/>
      <c r="T754" s="17"/>
      <c r="U754" s="17"/>
      <c r="V754" s="17"/>
    </row>
    <row r="755" spans="1:22" x14ac:dyDescent="0.35">
      <c r="A755" s="16"/>
      <c r="B755" s="16"/>
      <c r="C755" s="16"/>
      <c r="D755" s="16"/>
      <c r="E755" s="17"/>
      <c r="F755" s="17"/>
      <c r="G755" s="17"/>
      <c r="H755" s="17"/>
      <c r="I755" s="17"/>
      <c r="J755" s="17"/>
      <c r="K755" s="17"/>
      <c r="L755" s="17"/>
      <c r="M755" s="34"/>
      <c r="N755" s="34"/>
      <c r="O755" s="34"/>
      <c r="P755" s="17"/>
      <c r="Q755" s="17"/>
      <c r="R755" s="17"/>
      <c r="S755" s="17"/>
      <c r="T755" s="17"/>
      <c r="U755" s="17"/>
      <c r="V755" s="17"/>
    </row>
    <row r="756" spans="1:22" x14ac:dyDescent="0.35">
      <c r="A756" s="16"/>
      <c r="B756" s="16"/>
      <c r="C756" s="16"/>
      <c r="D756" s="16"/>
      <c r="E756" s="17"/>
      <c r="F756" s="17"/>
      <c r="G756" s="17"/>
      <c r="H756" s="17"/>
      <c r="I756" s="17"/>
      <c r="J756" s="17"/>
      <c r="K756" s="17"/>
      <c r="L756" s="17"/>
      <c r="M756" s="34"/>
      <c r="N756" s="34"/>
      <c r="O756" s="34"/>
      <c r="P756" s="17"/>
      <c r="Q756" s="17"/>
      <c r="R756" s="17"/>
      <c r="S756" s="17"/>
      <c r="T756" s="17"/>
      <c r="U756" s="17"/>
      <c r="V756" s="17"/>
    </row>
    <row r="757" spans="1:22" x14ac:dyDescent="0.35">
      <c r="A757" s="16"/>
      <c r="B757" s="16"/>
      <c r="C757" s="16"/>
      <c r="D757" s="16"/>
      <c r="E757" s="17"/>
      <c r="F757" s="17"/>
      <c r="G757" s="17"/>
      <c r="H757" s="17"/>
      <c r="I757" s="17"/>
      <c r="J757" s="17"/>
      <c r="K757" s="17"/>
      <c r="L757" s="17"/>
      <c r="M757" s="34"/>
      <c r="N757" s="34"/>
      <c r="O757" s="34"/>
      <c r="P757" s="17"/>
      <c r="Q757" s="17"/>
      <c r="R757" s="17"/>
      <c r="S757" s="17"/>
      <c r="T757" s="17"/>
      <c r="U757" s="17"/>
      <c r="V757" s="17"/>
    </row>
    <row r="758" spans="1:22" x14ac:dyDescent="0.35">
      <c r="A758" s="16"/>
      <c r="B758" s="16"/>
      <c r="C758" s="16"/>
      <c r="D758" s="16"/>
      <c r="E758" s="17"/>
      <c r="F758" s="17"/>
      <c r="G758" s="17"/>
      <c r="H758" s="17"/>
      <c r="I758" s="17"/>
      <c r="J758" s="17"/>
      <c r="K758" s="17"/>
      <c r="L758" s="17"/>
      <c r="M758" s="34"/>
      <c r="N758" s="34"/>
      <c r="O758" s="34"/>
      <c r="P758" s="17"/>
      <c r="Q758" s="17"/>
      <c r="R758" s="17"/>
      <c r="S758" s="17"/>
      <c r="T758" s="17"/>
      <c r="U758" s="17"/>
      <c r="V758" s="17"/>
    </row>
    <row r="759" spans="1:22" x14ac:dyDescent="0.35">
      <c r="A759" s="16"/>
      <c r="B759" s="16"/>
      <c r="C759" s="16"/>
      <c r="D759" s="16"/>
      <c r="E759" s="17"/>
      <c r="F759" s="17"/>
      <c r="G759" s="17"/>
      <c r="H759" s="17"/>
      <c r="I759" s="17"/>
      <c r="J759" s="17"/>
      <c r="K759" s="17"/>
      <c r="L759" s="17"/>
      <c r="M759" s="34"/>
      <c r="N759" s="34"/>
      <c r="O759" s="34"/>
      <c r="P759" s="17"/>
      <c r="Q759" s="17"/>
      <c r="R759" s="17"/>
      <c r="S759" s="17"/>
      <c r="T759" s="17"/>
      <c r="U759" s="17"/>
      <c r="V759" s="17"/>
    </row>
    <row r="760" spans="1:22" x14ac:dyDescent="0.35">
      <c r="A760" s="16"/>
      <c r="B760" s="16"/>
      <c r="C760" s="16"/>
      <c r="D760" s="16"/>
      <c r="E760" s="17"/>
      <c r="F760" s="17"/>
      <c r="G760" s="17"/>
      <c r="H760" s="17"/>
      <c r="I760" s="17"/>
      <c r="J760" s="17"/>
      <c r="K760" s="17"/>
      <c r="L760" s="17"/>
      <c r="M760" s="34"/>
      <c r="N760" s="34"/>
      <c r="O760" s="34"/>
      <c r="P760" s="17"/>
      <c r="Q760" s="17"/>
      <c r="R760" s="17"/>
      <c r="S760" s="17"/>
      <c r="T760" s="17"/>
      <c r="U760" s="17"/>
      <c r="V760" s="17"/>
    </row>
    <row r="761" spans="1:22" x14ac:dyDescent="0.35">
      <c r="A761" s="16"/>
      <c r="B761" s="16"/>
      <c r="C761" s="16"/>
      <c r="D761" s="16"/>
      <c r="E761" s="17"/>
      <c r="F761" s="17"/>
      <c r="G761" s="17"/>
      <c r="H761" s="17"/>
      <c r="I761" s="17"/>
      <c r="J761" s="17"/>
      <c r="K761" s="17"/>
      <c r="L761" s="17"/>
      <c r="M761" s="34"/>
      <c r="N761" s="34"/>
      <c r="O761" s="34"/>
      <c r="P761" s="17"/>
      <c r="Q761" s="17"/>
      <c r="R761" s="17"/>
      <c r="S761" s="17"/>
      <c r="T761" s="17"/>
      <c r="U761" s="17"/>
      <c r="V761" s="17"/>
    </row>
    <row r="762" spans="1:22" x14ac:dyDescent="0.35">
      <c r="A762" s="16"/>
      <c r="B762" s="16"/>
      <c r="C762" s="16"/>
      <c r="D762" s="16"/>
      <c r="E762" s="17"/>
      <c r="F762" s="17"/>
      <c r="G762" s="17"/>
      <c r="H762" s="17"/>
      <c r="I762" s="17"/>
      <c r="J762" s="17"/>
      <c r="K762" s="17"/>
      <c r="L762" s="17"/>
      <c r="M762" s="34"/>
      <c r="N762" s="34"/>
      <c r="O762" s="34"/>
      <c r="P762" s="17"/>
      <c r="Q762" s="17"/>
      <c r="R762" s="17"/>
      <c r="S762" s="17"/>
      <c r="T762" s="17"/>
      <c r="U762" s="17"/>
      <c r="V762" s="17"/>
    </row>
    <row r="763" spans="1:22" x14ac:dyDescent="0.35">
      <c r="A763" s="16"/>
      <c r="B763" s="16"/>
      <c r="C763" s="16"/>
      <c r="D763" s="16"/>
      <c r="E763" s="17"/>
      <c r="F763" s="17"/>
      <c r="G763" s="17"/>
      <c r="H763" s="17"/>
      <c r="I763" s="17"/>
      <c r="J763" s="17"/>
      <c r="K763" s="17"/>
      <c r="L763" s="17"/>
      <c r="M763" s="34"/>
      <c r="N763" s="34"/>
      <c r="O763" s="34"/>
      <c r="P763" s="17"/>
      <c r="Q763" s="17"/>
      <c r="R763" s="17"/>
      <c r="S763" s="17"/>
      <c r="T763" s="17"/>
      <c r="U763" s="17"/>
      <c r="V763" s="17"/>
    </row>
    <row r="764" spans="1:22" x14ac:dyDescent="0.35">
      <c r="A764" s="16"/>
      <c r="B764" s="16"/>
      <c r="C764" s="16"/>
      <c r="D764" s="16"/>
      <c r="E764" s="17"/>
      <c r="F764" s="17"/>
      <c r="G764" s="17"/>
      <c r="H764" s="17"/>
      <c r="I764" s="17"/>
      <c r="J764" s="17"/>
      <c r="K764" s="17"/>
      <c r="L764" s="17"/>
      <c r="M764" s="34"/>
      <c r="N764" s="34"/>
      <c r="O764" s="34"/>
      <c r="P764" s="17"/>
      <c r="Q764" s="17"/>
      <c r="R764" s="17"/>
      <c r="S764" s="17"/>
      <c r="T764" s="17"/>
      <c r="U764" s="17"/>
      <c r="V764" s="17"/>
    </row>
    <row r="765" spans="1:22" x14ac:dyDescent="0.35">
      <c r="A765" s="16"/>
      <c r="B765" s="16"/>
      <c r="C765" s="16"/>
      <c r="D765" s="16"/>
      <c r="E765" s="17"/>
      <c r="F765" s="17"/>
      <c r="G765" s="17"/>
      <c r="H765" s="17"/>
      <c r="I765" s="17"/>
      <c r="J765" s="17"/>
      <c r="K765" s="17"/>
      <c r="L765" s="17"/>
      <c r="M765" s="34"/>
      <c r="N765" s="34"/>
      <c r="O765" s="34"/>
      <c r="P765" s="17"/>
      <c r="Q765" s="17"/>
      <c r="R765" s="17"/>
      <c r="S765" s="17"/>
      <c r="T765" s="17"/>
      <c r="U765" s="17"/>
      <c r="V765" s="17"/>
    </row>
    <row r="766" spans="1:22" x14ac:dyDescent="0.35">
      <c r="A766" s="16"/>
      <c r="B766" s="16"/>
      <c r="C766" s="16"/>
      <c r="D766" s="16"/>
      <c r="E766" s="17"/>
      <c r="F766" s="17"/>
      <c r="G766" s="17"/>
      <c r="H766" s="17"/>
      <c r="I766" s="17"/>
      <c r="J766" s="17"/>
      <c r="K766" s="17"/>
      <c r="L766" s="17"/>
      <c r="M766" s="34"/>
      <c r="N766" s="34"/>
      <c r="O766" s="34"/>
      <c r="P766" s="17"/>
      <c r="Q766" s="17"/>
      <c r="R766" s="17"/>
      <c r="S766" s="17"/>
      <c r="T766" s="17"/>
      <c r="U766" s="17"/>
      <c r="V766" s="17"/>
    </row>
    <row r="767" spans="1:22" x14ac:dyDescent="0.35">
      <c r="A767" s="16"/>
      <c r="B767" s="16"/>
      <c r="C767" s="16"/>
      <c r="D767" s="16"/>
      <c r="E767" s="17"/>
      <c r="F767" s="17"/>
      <c r="G767" s="17"/>
      <c r="H767" s="17"/>
      <c r="I767" s="17"/>
      <c r="J767" s="17"/>
      <c r="K767" s="17"/>
      <c r="L767" s="17"/>
      <c r="M767" s="34"/>
      <c r="N767" s="34"/>
      <c r="O767" s="34"/>
      <c r="P767" s="17"/>
      <c r="Q767" s="17"/>
      <c r="R767" s="17"/>
      <c r="S767" s="17"/>
      <c r="T767" s="17"/>
      <c r="U767" s="17"/>
      <c r="V767" s="17"/>
    </row>
    <row r="768" spans="1:22" x14ac:dyDescent="0.35">
      <c r="A768" s="16"/>
      <c r="B768" s="16"/>
      <c r="C768" s="16"/>
      <c r="D768" s="16"/>
      <c r="E768" s="17"/>
      <c r="F768" s="17"/>
      <c r="G768" s="17"/>
      <c r="H768" s="17"/>
      <c r="I768" s="17"/>
      <c r="J768" s="17"/>
      <c r="K768" s="17"/>
      <c r="L768" s="17"/>
      <c r="M768" s="34"/>
      <c r="N768" s="34"/>
      <c r="O768" s="34"/>
      <c r="P768" s="17"/>
      <c r="Q768" s="17"/>
      <c r="R768" s="17"/>
      <c r="S768" s="17"/>
      <c r="T768" s="17"/>
      <c r="U768" s="17"/>
      <c r="V768" s="17"/>
    </row>
    <row r="769" spans="1:22" x14ac:dyDescent="0.35">
      <c r="A769" s="16"/>
      <c r="B769" s="16"/>
      <c r="C769" s="16"/>
      <c r="D769" s="16"/>
      <c r="E769" s="17"/>
      <c r="F769" s="17"/>
      <c r="G769" s="17"/>
      <c r="H769" s="17"/>
      <c r="I769" s="17"/>
      <c r="J769" s="17"/>
      <c r="K769" s="17"/>
      <c r="L769" s="17"/>
      <c r="M769" s="34"/>
      <c r="N769" s="34"/>
      <c r="O769" s="34"/>
      <c r="P769" s="17"/>
      <c r="Q769" s="17"/>
      <c r="R769" s="17"/>
      <c r="S769" s="17"/>
      <c r="T769" s="17"/>
      <c r="U769" s="17"/>
      <c r="V769" s="17"/>
    </row>
    <row r="770" spans="1:22" x14ac:dyDescent="0.35">
      <c r="A770" s="16"/>
      <c r="B770" s="16"/>
      <c r="C770" s="16"/>
      <c r="D770" s="16"/>
      <c r="E770" s="17"/>
      <c r="F770" s="17"/>
      <c r="G770" s="17"/>
      <c r="H770" s="17"/>
      <c r="I770" s="17"/>
      <c r="J770" s="17"/>
      <c r="K770" s="17"/>
      <c r="L770" s="17"/>
      <c r="M770" s="34"/>
      <c r="N770" s="34"/>
      <c r="O770" s="34"/>
      <c r="P770" s="17"/>
      <c r="Q770" s="17"/>
      <c r="R770" s="17"/>
      <c r="S770" s="17"/>
      <c r="T770" s="17"/>
      <c r="U770" s="17"/>
      <c r="V770" s="17"/>
    </row>
    <row r="771" spans="1:22" x14ac:dyDescent="0.35">
      <c r="A771" s="16"/>
      <c r="B771" s="16"/>
      <c r="C771" s="16"/>
      <c r="D771" s="16"/>
      <c r="E771" s="17"/>
      <c r="F771" s="17"/>
      <c r="G771" s="17"/>
      <c r="H771" s="17"/>
      <c r="I771" s="17"/>
      <c r="J771" s="17"/>
      <c r="K771" s="17"/>
      <c r="L771" s="17"/>
      <c r="M771" s="34"/>
      <c r="N771" s="34"/>
      <c r="O771" s="34"/>
      <c r="P771" s="17"/>
      <c r="Q771" s="17"/>
      <c r="R771" s="17"/>
      <c r="S771" s="17"/>
      <c r="T771" s="17"/>
      <c r="U771" s="17"/>
      <c r="V771" s="17"/>
    </row>
    <row r="772" spans="1:22" x14ac:dyDescent="0.35">
      <c r="A772" s="16"/>
      <c r="B772" s="16"/>
      <c r="C772" s="16"/>
      <c r="D772" s="16"/>
      <c r="E772" s="17"/>
      <c r="F772" s="17"/>
      <c r="G772" s="17"/>
      <c r="H772" s="17"/>
      <c r="I772" s="17"/>
      <c r="J772" s="17"/>
      <c r="K772" s="17"/>
      <c r="L772" s="17"/>
      <c r="M772" s="34"/>
      <c r="N772" s="34"/>
      <c r="O772" s="34"/>
      <c r="P772" s="17"/>
      <c r="Q772" s="17"/>
      <c r="R772" s="17"/>
      <c r="S772" s="17"/>
      <c r="T772" s="17"/>
      <c r="U772" s="17"/>
      <c r="V772" s="17"/>
    </row>
    <row r="773" spans="1:22" x14ac:dyDescent="0.35">
      <c r="A773" s="16"/>
      <c r="B773" s="16"/>
      <c r="C773" s="16"/>
      <c r="D773" s="16"/>
      <c r="E773" s="17"/>
      <c r="F773" s="17"/>
      <c r="G773" s="17"/>
      <c r="H773" s="17"/>
      <c r="I773" s="17"/>
      <c r="J773" s="17"/>
      <c r="K773" s="17"/>
      <c r="L773" s="17"/>
      <c r="M773" s="34"/>
      <c r="N773" s="34"/>
      <c r="O773" s="34"/>
      <c r="P773" s="17"/>
      <c r="Q773" s="17"/>
      <c r="R773" s="17"/>
      <c r="S773" s="17"/>
      <c r="T773" s="17"/>
      <c r="U773" s="17"/>
      <c r="V773" s="17"/>
    </row>
    <row r="774" spans="1:22" x14ac:dyDescent="0.35">
      <c r="A774" s="16"/>
      <c r="B774" s="16"/>
      <c r="C774" s="16"/>
      <c r="D774" s="16"/>
      <c r="E774" s="17"/>
      <c r="F774" s="17"/>
      <c r="G774" s="17"/>
      <c r="H774" s="17"/>
      <c r="I774" s="17"/>
      <c r="J774" s="17"/>
      <c r="K774" s="17"/>
      <c r="L774" s="17"/>
      <c r="M774" s="34"/>
      <c r="N774" s="34"/>
      <c r="O774" s="34"/>
      <c r="P774" s="17"/>
      <c r="Q774" s="17"/>
      <c r="R774" s="17"/>
      <c r="S774" s="17"/>
      <c r="T774" s="17"/>
      <c r="U774" s="17"/>
      <c r="V774" s="17"/>
    </row>
    <row r="775" spans="1:22" x14ac:dyDescent="0.35">
      <c r="A775" s="16"/>
      <c r="B775" s="16"/>
      <c r="C775" s="16"/>
      <c r="D775" s="16"/>
      <c r="E775" s="17"/>
      <c r="F775" s="17"/>
      <c r="G775" s="17"/>
      <c r="H775" s="17"/>
      <c r="I775" s="17"/>
      <c r="J775" s="17"/>
      <c r="K775" s="17"/>
      <c r="L775" s="17"/>
      <c r="M775" s="34"/>
      <c r="N775" s="34"/>
      <c r="O775" s="34"/>
      <c r="P775" s="17"/>
      <c r="Q775" s="17"/>
      <c r="R775" s="17"/>
      <c r="S775" s="17"/>
      <c r="T775" s="17"/>
      <c r="U775" s="17"/>
      <c r="V775" s="17"/>
    </row>
    <row r="776" spans="1:22" x14ac:dyDescent="0.35">
      <c r="A776" s="16"/>
      <c r="B776" s="16"/>
      <c r="C776" s="16"/>
      <c r="D776" s="16"/>
      <c r="E776" s="17"/>
      <c r="F776" s="17"/>
      <c r="G776" s="17"/>
      <c r="H776" s="17"/>
      <c r="I776" s="17"/>
      <c r="J776" s="17"/>
      <c r="K776" s="17"/>
      <c r="L776" s="17"/>
      <c r="M776" s="34"/>
      <c r="N776" s="34"/>
      <c r="O776" s="34"/>
      <c r="P776" s="17"/>
      <c r="Q776" s="17"/>
      <c r="R776" s="17"/>
      <c r="S776" s="17"/>
      <c r="T776" s="17"/>
      <c r="U776" s="17"/>
      <c r="V776" s="17"/>
    </row>
    <row r="777" spans="1:22" x14ac:dyDescent="0.35">
      <c r="A777" s="16"/>
      <c r="B777" s="16"/>
      <c r="C777" s="16"/>
      <c r="D777" s="16"/>
      <c r="E777" s="17"/>
      <c r="F777" s="17"/>
      <c r="G777" s="17"/>
      <c r="H777" s="17"/>
      <c r="I777" s="17"/>
      <c r="J777" s="17"/>
      <c r="K777" s="17"/>
      <c r="L777" s="17"/>
      <c r="M777" s="34"/>
      <c r="N777" s="34"/>
      <c r="O777" s="34"/>
      <c r="P777" s="17"/>
      <c r="Q777" s="17"/>
      <c r="R777" s="17"/>
      <c r="S777" s="17"/>
      <c r="T777" s="17"/>
      <c r="U777" s="17"/>
      <c r="V777" s="17"/>
    </row>
    <row r="778" spans="1:22" x14ac:dyDescent="0.35">
      <c r="A778" s="16"/>
      <c r="B778" s="16"/>
      <c r="C778" s="16"/>
      <c r="D778" s="16"/>
      <c r="E778" s="17"/>
      <c r="F778" s="17"/>
      <c r="G778" s="17"/>
      <c r="H778" s="17"/>
      <c r="I778" s="17"/>
      <c r="J778" s="17"/>
      <c r="K778" s="17"/>
      <c r="L778" s="17"/>
      <c r="M778" s="34"/>
      <c r="N778" s="34"/>
      <c r="O778" s="34"/>
      <c r="P778" s="17"/>
      <c r="Q778" s="17"/>
      <c r="R778" s="17"/>
      <c r="S778" s="17"/>
      <c r="T778" s="17"/>
      <c r="U778" s="17"/>
      <c r="V778" s="17"/>
    </row>
    <row r="779" spans="1:22" x14ac:dyDescent="0.35">
      <c r="A779" s="16"/>
      <c r="B779" s="16"/>
      <c r="C779" s="16"/>
      <c r="D779" s="16"/>
      <c r="E779" s="17"/>
      <c r="F779" s="17"/>
      <c r="G779" s="17"/>
      <c r="H779" s="17"/>
      <c r="I779" s="17"/>
      <c r="J779" s="17"/>
      <c r="K779" s="17"/>
      <c r="L779" s="17"/>
      <c r="M779" s="34"/>
      <c r="N779" s="34"/>
      <c r="O779" s="34"/>
      <c r="P779" s="17"/>
      <c r="Q779" s="17"/>
      <c r="R779" s="17"/>
      <c r="S779" s="17"/>
      <c r="T779" s="17"/>
      <c r="U779" s="17"/>
      <c r="V779" s="17"/>
    </row>
    <row r="780" spans="1:22" x14ac:dyDescent="0.35">
      <c r="A780" s="16"/>
      <c r="B780" s="16"/>
      <c r="C780" s="16"/>
      <c r="D780" s="16"/>
      <c r="E780" s="17"/>
      <c r="F780" s="17"/>
      <c r="G780" s="17"/>
      <c r="H780" s="17"/>
      <c r="I780" s="17"/>
      <c r="J780" s="17"/>
      <c r="K780" s="17"/>
      <c r="L780" s="17"/>
      <c r="M780" s="34"/>
      <c r="N780" s="34"/>
      <c r="O780" s="34"/>
      <c r="P780" s="17"/>
      <c r="Q780" s="17"/>
      <c r="R780" s="17"/>
      <c r="S780" s="17"/>
      <c r="T780" s="17"/>
      <c r="U780" s="17"/>
      <c r="V780" s="17"/>
    </row>
    <row r="781" spans="1:22" x14ac:dyDescent="0.35">
      <c r="A781" s="16"/>
      <c r="B781" s="16"/>
      <c r="C781" s="16"/>
      <c r="D781" s="16"/>
      <c r="E781" s="17"/>
      <c r="F781" s="17"/>
      <c r="G781" s="17"/>
      <c r="H781" s="17"/>
      <c r="I781" s="17"/>
      <c r="J781" s="17"/>
      <c r="K781" s="17"/>
      <c r="L781" s="17"/>
      <c r="M781" s="34"/>
      <c r="N781" s="34"/>
      <c r="O781" s="34"/>
      <c r="P781" s="17"/>
      <c r="Q781" s="17"/>
      <c r="R781" s="17"/>
      <c r="S781" s="17"/>
      <c r="T781" s="17"/>
      <c r="U781" s="17"/>
      <c r="V781" s="17"/>
    </row>
    <row r="782" spans="1:22" x14ac:dyDescent="0.35">
      <c r="A782" s="16"/>
      <c r="B782" s="16"/>
      <c r="C782" s="16"/>
      <c r="D782" s="16"/>
      <c r="E782" s="17"/>
      <c r="F782" s="17"/>
      <c r="G782" s="17"/>
      <c r="H782" s="17"/>
      <c r="I782" s="17"/>
      <c r="J782" s="17"/>
      <c r="K782" s="17"/>
      <c r="L782" s="17"/>
      <c r="M782" s="34"/>
      <c r="N782" s="34"/>
      <c r="O782" s="34"/>
      <c r="P782" s="17"/>
      <c r="Q782" s="17"/>
      <c r="R782" s="17"/>
      <c r="S782" s="17"/>
      <c r="T782" s="17"/>
      <c r="U782" s="17"/>
      <c r="V782" s="17"/>
    </row>
    <row r="783" spans="1:22" x14ac:dyDescent="0.35">
      <c r="A783" s="16"/>
      <c r="B783" s="16"/>
      <c r="C783" s="16"/>
      <c r="D783" s="16"/>
      <c r="E783" s="17"/>
      <c r="F783" s="17"/>
      <c r="G783" s="17"/>
      <c r="H783" s="17"/>
      <c r="I783" s="17"/>
      <c r="J783" s="17"/>
      <c r="K783" s="17"/>
      <c r="L783" s="17"/>
      <c r="M783" s="34"/>
      <c r="N783" s="34"/>
      <c r="O783" s="34"/>
      <c r="P783" s="17"/>
      <c r="Q783" s="17"/>
      <c r="R783" s="17"/>
      <c r="S783" s="17"/>
      <c r="T783" s="17"/>
      <c r="U783" s="17"/>
      <c r="V783" s="17"/>
    </row>
    <row r="784" spans="1:22" x14ac:dyDescent="0.35">
      <c r="A784" s="16"/>
      <c r="B784" s="16"/>
      <c r="C784" s="16"/>
      <c r="D784" s="16"/>
      <c r="E784" s="17"/>
      <c r="F784" s="17"/>
      <c r="G784" s="17"/>
      <c r="H784" s="17"/>
      <c r="I784" s="17"/>
      <c r="J784" s="17"/>
      <c r="K784" s="17"/>
      <c r="L784" s="17"/>
      <c r="M784" s="34"/>
      <c r="N784" s="34"/>
      <c r="O784" s="34"/>
      <c r="P784" s="17"/>
      <c r="Q784" s="17"/>
      <c r="R784" s="17"/>
      <c r="S784" s="17"/>
      <c r="T784" s="17"/>
      <c r="U784" s="17"/>
      <c r="V784" s="17"/>
    </row>
    <row r="785" spans="1:22" x14ac:dyDescent="0.35">
      <c r="A785" s="16"/>
      <c r="B785" s="16"/>
      <c r="C785" s="16"/>
      <c r="D785" s="16"/>
      <c r="E785" s="17"/>
      <c r="F785" s="17"/>
      <c r="G785" s="17"/>
      <c r="H785" s="17"/>
      <c r="I785" s="17"/>
      <c r="J785" s="17"/>
      <c r="K785" s="17"/>
      <c r="L785" s="17"/>
      <c r="M785" s="34"/>
      <c r="N785" s="34"/>
      <c r="O785" s="34"/>
      <c r="P785" s="17"/>
      <c r="Q785" s="17"/>
      <c r="R785" s="17"/>
      <c r="S785" s="17"/>
      <c r="T785" s="17"/>
      <c r="U785" s="17"/>
      <c r="V785" s="17"/>
    </row>
    <row r="786" spans="1:22" x14ac:dyDescent="0.35">
      <c r="A786" s="16"/>
      <c r="B786" s="16"/>
      <c r="C786" s="16"/>
      <c r="D786" s="16"/>
      <c r="E786" s="17"/>
      <c r="F786" s="17"/>
      <c r="G786" s="17"/>
      <c r="H786" s="17"/>
      <c r="I786" s="17"/>
      <c r="J786" s="17"/>
      <c r="K786" s="17"/>
      <c r="L786" s="17"/>
      <c r="M786" s="34"/>
      <c r="N786" s="34"/>
      <c r="O786" s="34"/>
      <c r="P786" s="17"/>
      <c r="Q786" s="17"/>
      <c r="R786" s="17"/>
      <c r="S786" s="17"/>
      <c r="T786" s="17"/>
      <c r="U786" s="17"/>
      <c r="V786" s="17"/>
    </row>
    <row r="787" spans="1:22" x14ac:dyDescent="0.35">
      <c r="A787" s="16"/>
      <c r="B787" s="16"/>
      <c r="C787" s="16"/>
      <c r="D787" s="16"/>
      <c r="E787" s="17"/>
      <c r="F787" s="17"/>
      <c r="G787" s="17"/>
      <c r="H787" s="17"/>
      <c r="I787" s="17"/>
      <c r="J787" s="17"/>
      <c r="K787" s="17"/>
      <c r="L787" s="17"/>
      <c r="M787" s="34"/>
      <c r="N787" s="34"/>
      <c r="O787" s="34"/>
      <c r="P787" s="17"/>
      <c r="Q787" s="17"/>
      <c r="R787" s="17"/>
      <c r="S787" s="17"/>
      <c r="T787" s="17"/>
      <c r="U787" s="17"/>
      <c r="V787" s="17"/>
    </row>
    <row r="788" spans="1:22" x14ac:dyDescent="0.35">
      <c r="A788" s="16"/>
      <c r="B788" s="16"/>
      <c r="C788" s="16"/>
      <c r="D788" s="16"/>
      <c r="E788" s="17"/>
      <c r="F788" s="17"/>
      <c r="G788" s="17"/>
      <c r="H788" s="17"/>
      <c r="I788" s="17"/>
      <c r="J788" s="17"/>
      <c r="K788" s="17"/>
      <c r="L788" s="17"/>
      <c r="M788" s="34"/>
      <c r="N788" s="34"/>
      <c r="O788" s="34"/>
      <c r="P788" s="17"/>
      <c r="Q788" s="17"/>
      <c r="R788" s="17"/>
      <c r="S788" s="17"/>
      <c r="T788" s="17"/>
      <c r="U788" s="17"/>
      <c r="V788" s="17"/>
    </row>
    <row r="789" spans="1:22" x14ac:dyDescent="0.35">
      <c r="A789" s="16"/>
      <c r="B789" s="16"/>
      <c r="C789" s="16"/>
      <c r="D789" s="16"/>
      <c r="E789" s="17"/>
      <c r="F789" s="17"/>
      <c r="G789" s="17"/>
      <c r="H789" s="17"/>
      <c r="I789" s="17"/>
      <c r="J789" s="17"/>
      <c r="K789" s="17"/>
      <c r="L789" s="17"/>
      <c r="M789" s="34"/>
      <c r="N789" s="34"/>
      <c r="O789" s="34"/>
      <c r="P789" s="17"/>
      <c r="Q789" s="17"/>
      <c r="R789" s="17"/>
      <c r="S789" s="17"/>
      <c r="T789" s="17"/>
      <c r="U789" s="17"/>
      <c r="V789" s="17"/>
    </row>
    <row r="790" spans="1:22" x14ac:dyDescent="0.35">
      <c r="A790" s="16"/>
      <c r="B790" s="16"/>
      <c r="C790" s="16"/>
      <c r="D790" s="16"/>
      <c r="E790" s="17"/>
      <c r="F790" s="17"/>
      <c r="G790" s="17"/>
      <c r="H790" s="17"/>
      <c r="I790" s="17"/>
      <c r="J790" s="17"/>
      <c r="K790" s="17"/>
      <c r="L790" s="17"/>
      <c r="M790" s="34"/>
      <c r="N790" s="34"/>
      <c r="O790" s="34"/>
      <c r="P790" s="17"/>
      <c r="Q790" s="17"/>
      <c r="R790" s="17"/>
      <c r="S790" s="17"/>
      <c r="T790" s="17"/>
      <c r="U790" s="17"/>
      <c r="V790" s="17"/>
    </row>
    <row r="791" spans="1:22" x14ac:dyDescent="0.35">
      <c r="A791" s="16"/>
      <c r="B791" s="16"/>
      <c r="C791" s="16"/>
      <c r="D791" s="16"/>
      <c r="E791" s="17"/>
      <c r="F791" s="17"/>
      <c r="G791" s="17"/>
      <c r="H791" s="17"/>
      <c r="I791" s="17"/>
      <c r="J791" s="17"/>
      <c r="K791" s="17"/>
      <c r="L791" s="17"/>
      <c r="M791" s="34"/>
      <c r="N791" s="34"/>
      <c r="O791" s="34"/>
      <c r="P791" s="17"/>
      <c r="Q791" s="17"/>
      <c r="R791" s="17"/>
      <c r="S791" s="17"/>
      <c r="T791" s="17"/>
      <c r="U791" s="17"/>
      <c r="V791" s="17"/>
    </row>
    <row r="792" spans="1:22" x14ac:dyDescent="0.35">
      <c r="A792" s="16"/>
      <c r="B792" s="16"/>
      <c r="C792" s="16"/>
      <c r="D792" s="16"/>
      <c r="E792" s="17"/>
      <c r="F792" s="17"/>
      <c r="G792" s="17"/>
      <c r="H792" s="17"/>
      <c r="I792" s="17"/>
      <c r="J792" s="17"/>
      <c r="K792" s="17"/>
      <c r="L792" s="17"/>
      <c r="M792" s="34"/>
      <c r="N792" s="34"/>
      <c r="O792" s="34"/>
      <c r="P792" s="17"/>
      <c r="Q792" s="17"/>
      <c r="R792" s="17"/>
      <c r="S792" s="17"/>
      <c r="T792" s="17"/>
      <c r="U792" s="17"/>
      <c r="V792" s="17"/>
    </row>
    <row r="793" spans="1:22" x14ac:dyDescent="0.35">
      <c r="A793" s="16"/>
      <c r="B793" s="16"/>
      <c r="C793" s="16"/>
      <c r="D793" s="16"/>
      <c r="E793" s="17"/>
      <c r="F793" s="17"/>
      <c r="G793" s="17"/>
      <c r="H793" s="17"/>
      <c r="I793" s="17"/>
      <c r="J793" s="17"/>
      <c r="K793" s="17"/>
      <c r="L793" s="17"/>
      <c r="M793" s="34"/>
      <c r="N793" s="34"/>
      <c r="O793" s="34"/>
      <c r="P793" s="17"/>
      <c r="Q793" s="17"/>
      <c r="R793" s="17"/>
      <c r="S793" s="17"/>
      <c r="T793" s="17"/>
      <c r="U793" s="17"/>
      <c r="V793" s="17"/>
    </row>
    <row r="794" spans="1:22" x14ac:dyDescent="0.35">
      <c r="A794" s="16"/>
      <c r="B794" s="16"/>
      <c r="C794" s="16"/>
      <c r="D794" s="16"/>
      <c r="E794" s="17"/>
      <c r="F794" s="17"/>
      <c r="G794" s="17"/>
      <c r="H794" s="17"/>
      <c r="I794" s="17"/>
      <c r="J794" s="17"/>
      <c r="K794" s="17"/>
      <c r="L794" s="17"/>
      <c r="M794" s="34"/>
      <c r="N794" s="34"/>
      <c r="O794" s="34"/>
      <c r="P794" s="17"/>
      <c r="Q794" s="17"/>
      <c r="R794" s="17"/>
      <c r="S794" s="17"/>
      <c r="T794" s="17"/>
      <c r="U794" s="17"/>
      <c r="V794" s="17"/>
    </row>
    <row r="795" spans="1:22" x14ac:dyDescent="0.35">
      <c r="A795" s="16"/>
      <c r="B795" s="16"/>
      <c r="C795" s="16"/>
      <c r="D795" s="16"/>
      <c r="E795" s="17"/>
      <c r="F795" s="17"/>
      <c r="G795" s="17"/>
      <c r="H795" s="17"/>
      <c r="I795" s="17"/>
      <c r="J795" s="17"/>
      <c r="K795" s="17"/>
      <c r="L795" s="17"/>
      <c r="M795" s="34"/>
      <c r="N795" s="34"/>
      <c r="O795" s="34"/>
      <c r="P795" s="17"/>
      <c r="Q795" s="17"/>
      <c r="R795" s="17"/>
      <c r="S795" s="17"/>
      <c r="T795" s="17"/>
      <c r="U795" s="17"/>
      <c r="V795" s="17"/>
    </row>
    <row r="796" spans="1:22" x14ac:dyDescent="0.35">
      <c r="A796" s="16"/>
      <c r="B796" s="16"/>
      <c r="C796" s="16"/>
      <c r="D796" s="16"/>
      <c r="E796" s="17"/>
      <c r="F796" s="17"/>
      <c r="G796" s="17"/>
      <c r="H796" s="17"/>
      <c r="I796" s="17"/>
      <c r="J796" s="17"/>
      <c r="K796" s="17"/>
      <c r="L796" s="17"/>
      <c r="M796" s="34"/>
      <c r="N796" s="34"/>
      <c r="O796" s="34"/>
      <c r="P796" s="17"/>
      <c r="Q796" s="17"/>
      <c r="R796" s="17"/>
      <c r="S796" s="17"/>
      <c r="T796" s="17"/>
      <c r="U796" s="17"/>
      <c r="V796" s="17"/>
    </row>
    <row r="797" spans="1:22" x14ac:dyDescent="0.35">
      <c r="A797" s="16"/>
      <c r="B797" s="16"/>
      <c r="C797" s="16"/>
      <c r="D797" s="16"/>
      <c r="E797" s="17"/>
      <c r="F797" s="17"/>
      <c r="G797" s="17"/>
      <c r="H797" s="17"/>
      <c r="I797" s="17"/>
      <c r="J797" s="17"/>
      <c r="K797" s="17"/>
      <c r="L797" s="17"/>
      <c r="M797" s="34"/>
      <c r="N797" s="34"/>
      <c r="O797" s="34"/>
      <c r="P797" s="17"/>
      <c r="Q797" s="17"/>
      <c r="R797" s="17"/>
      <c r="S797" s="17"/>
      <c r="T797" s="17"/>
      <c r="U797" s="17"/>
      <c r="V797" s="17"/>
    </row>
    <row r="798" spans="1:22" x14ac:dyDescent="0.35">
      <c r="A798" s="16"/>
      <c r="B798" s="16"/>
      <c r="C798" s="16"/>
      <c r="D798" s="16"/>
      <c r="E798" s="17"/>
      <c r="F798" s="17"/>
      <c r="G798" s="17"/>
      <c r="H798" s="17"/>
      <c r="I798" s="17"/>
      <c r="J798" s="17"/>
      <c r="K798" s="17"/>
      <c r="L798" s="17"/>
      <c r="M798" s="34"/>
      <c r="N798" s="34"/>
      <c r="O798" s="34"/>
      <c r="P798" s="17"/>
      <c r="Q798" s="17"/>
      <c r="R798" s="17"/>
      <c r="S798" s="17"/>
      <c r="T798" s="17"/>
      <c r="U798" s="17"/>
      <c r="V798" s="17"/>
    </row>
    <row r="799" spans="1:22" x14ac:dyDescent="0.35">
      <c r="A799" s="16"/>
      <c r="B799" s="16"/>
      <c r="C799" s="16"/>
      <c r="D799" s="16"/>
      <c r="E799" s="17"/>
      <c r="F799" s="17"/>
      <c r="G799" s="17"/>
      <c r="H799" s="17"/>
      <c r="I799" s="17"/>
      <c r="J799" s="17"/>
      <c r="K799" s="17"/>
      <c r="L799" s="17"/>
      <c r="M799" s="34"/>
      <c r="N799" s="34"/>
      <c r="O799" s="34"/>
      <c r="P799" s="17"/>
      <c r="Q799" s="17"/>
      <c r="R799" s="17"/>
      <c r="S799" s="17"/>
      <c r="T799" s="17"/>
      <c r="U799" s="17"/>
      <c r="V799" s="17"/>
    </row>
    <row r="800" spans="1:22" x14ac:dyDescent="0.35">
      <c r="A800" s="16"/>
      <c r="B800" s="16"/>
      <c r="C800" s="16"/>
      <c r="D800" s="16"/>
      <c r="E800" s="17"/>
      <c r="F800" s="17"/>
      <c r="G800" s="17"/>
      <c r="H800" s="17"/>
      <c r="I800" s="17"/>
      <c r="J800" s="17"/>
      <c r="K800" s="17"/>
      <c r="L800" s="17"/>
      <c r="M800" s="34"/>
      <c r="N800" s="34"/>
      <c r="O800" s="34"/>
      <c r="P800" s="17"/>
      <c r="Q800" s="17"/>
      <c r="R800" s="17"/>
      <c r="S800" s="17"/>
      <c r="T800" s="17"/>
      <c r="U800" s="17"/>
      <c r="V800" s="17"/>
    </row>
    <row r="801" spans="1:22" x14ac:dyDescent="0.35">
      <c r="A801" s="16"/>
      <c r="B801" s="16"/>
      <c r="C801" s="16"/>
      <c r="D801" s="16"/>
      <c r="E801" s="17"/>
      <c r="F801" s="17"/>
      <c r="G801" s="17"/>
      <c r="H801" s="17"/>
      <c r="I801" s="17"/>
      <c r="J801" s="17"/>
      <c r="K801" s="17"/>
      <c r="L801" s="17"/>
      <c r="M801" s="34"/>
      <c r="N801" s="34"/>
      <c r="O801" s="34"/>
      <c r="P801" s="17"/>
      <c r="Q801" s="17"/>
      <c r="R801" s="17"/>
      <c r="S801" s="17"/>
      <c r="T801" s="17"/>
      <c r="U801" s="17"/>
      <c r="V801" s="17"/>
    </row>
    <row r="802" spans="1:22" x14ac:dyDescent="0.35">
      <c r="A802" s="16"/>
      <c r="B802" s="16"/>
      <c r="C802" s="16"/>
      <c r="D802" s="16"/>
      <c r="E802" s="17"/>
      <c r="F802" s="17"/>
      <c r="G802" s="17"/>
      <c r="H802" s="17"/>
      <c r="I802" s="17"/>
      <c r="J802" s="17"/>
      <c r="K802" s="17"/>
      <c r="L802" s="17"/>
      <c r="M802" s="34"/>
      <c r="N802" s="34"/>
      <c r="O802" s="34"/>
      <c r="P802" s="17"/>
      <c r="Q802" s="17"/>
      <c r="R802" s="17"/>
      <c r="S802" s="17"/>
      <c r="T802" s="17"/>
      <c r="U802" s="17"/>
      <c r="V802" s="17"/>
    </row>
    <row r="803" spans="1:22" x14ac:dyDescent="0.35">
      <c r="A803" s="16"/>
      <c r="B803" s="16"/>
      <c r="C803" s="16"/>
      <c r="D803" s="16"/>
      <c r="E803" s="17"/>
      <c r="F803" s="17"/>
      <c r="G803" s="17"/>
      <c r="H803" s="17"/>
      <c r="I803" s="17"/>
      <c r="J803" s="17"/>
      <c r="K803" s="17"/>
      <c r="L803" s="17"/>
      <c r="M803" s="34"/>
      <c r="N803" s="34"/>
      <c r="O803" s="34"/>
      <c r="P803" s="17"/>
      <c r="Q803" s="17"/>
      <c r="R803" s="17"/>
      <c r="S803" s="17"/>
      <c r="T803" s="17"/>
      <c r="U803" s="17"/>
      <c r="V803" s="17"/>
    </row>
    <row r="804" spans="1:22" x14ac:dyDescent="0.35">
      <c r="A804" s="16"/>
      <c r="B804" s="16"/>
      <c r="C804" s="16"/>
      <c r="D804" s="16"/>
      <c r="E804" s="17"/>
      <c r="F804" s="17"/>
      <c r="G804" s="17"/>
      <c r="H804" s="17"/>
      <c r="I804" s="17"/>
      <c r="J804" s="17"/>
      <c r="K804" s="17"/>
      <c r="L804" s="17"/>
      <c r="M804" s="34"/>
      <c r="N804" s="34"/>
      <c r="O804" s="34"/>
      <c r="P804" s="17"/>
      <c r="Q804" s="17"/>
      <c r="R804" s="17"/>
      <c r="S804" s="17"/>
      <c r="T804" s="17"/>
      <c r="U804" s="17"/>
      <c r="V804" s="17"/>
    </row>
    <row r="805" spans="1:22" x14ac:dyDescent="0.35">
      <c r="A805" s="16"/>
      <c r="B805" s="16"/>
      <c r="C805" s="16"/>
      <c r="D805" s="16"/>
      <c r="E805" s="17"/>
      <c r="F805" s="17"/>
      <c r="G805" s="17"/>
      <c r="H805" s="17"/>
      <c r="I805" s="17"/>
      <c r="J805" s="17"/>
      <c r="K805" s="17"/>
      <c r="L805" s="17"/>
      <c r="M805" s="34"/>
      <c r="N805" s="34"/>
      <c r="O805" s="34"/>
      <c r="P805" s="17"/>
      <c r="Q805" s="17"/>
      <c r="R805" s="17"/>
      <c r="S805" s="17"/>
      <c r="T805" s="17"/>
      <c r="U805" s="17"/>
      <c r="V805" s="17"/>
    </row>
  </sheetData>
  <autoFilter ref="A2:V342">
    <sortState ref="A3:AC342">
      <sortCondition descending="1" ref="I2:I342"/>
    </sortState>
  </autoFilter>
  <sortState ref="A3:BL342">
    <sortCondition ref="A3:A342"/>
    <sortCondition ref="B3:B342"/>
  </sortState>
  <hyperlinks>
    <hyperlink ref="E4" r:id="rId1" display="https://www.youtube.com/user/abdelmaleksellal"/>
    <hyperlink ref="E23" r:id="rId2" display="https://www.youtube.com/flagstaffhouse"/>
    <hyperlink ref="E25" r:id="rId3" display="https://www.youtube.com/channel/UCVqArgjwmnTAyMgZ-xm6Lcw"/>
    <hyperlink ref="E29" r:id="rId4" display="https://www.youtube.com/gouvcivideo"/>
    <hyperlink ref="E30" r:id="rId5" display="https://www.youtube.com/UhuruKenyattaTV"/>
    <hyperlink ref="E36" r:id="rId6" display="https://www.youtube.com/chefdugouvernement"/>
    <hyperlink ref="E38" r:id="rId7" display="https://www.youtube.com/presidenceniger"/>
    <hyperlink ref="E40" r:id="rId8" display="https://www.youtube.com/presidentkagame"/>
    <hyperlink ref="E41" r:id="rId9" display="https://www.youtube.com/RwandaGov"/>
    <hyperlink ref="E42" r:id="rId10" display="https://www.youtube.com/PrimatureRwanda"/>
    <hyperlink ref="E43" r:id="rId11" display="https://www.youtube.com/presidencesenegal"/>
    <hyperlink ref="E44" r:id="rId12" display="https://www.youtube.com/channel/UCyzZBEcM7_knHfLt2YE2dhg"/>
    <hyperlink ref="E45" r:id="rId13" display="https://www.youtube.com/channel/UCjxjky1VIZISVAgUxH302kw"/>
    <hyperlink ref="E46" r:id="rId14" display="https://www.youtube.com/PresidencyZA"/>
    <hyperlink ref="E52" r:id="rId15" display="https://www.youtube.com/presidenceTN"/>
    <hyperlink ref="E53" r:id="rId16" display="https://www.youtube.com/maetunisie"/>
    <hyperlink ref="E55" r:id="rId17" display="https://www.youtube.com/statehouseug"/>
    <hyperlink ref="E56" r:id="rId18" display="https://www.youtube.com/ugandamediacentre"/>
    <hyperlink ref="E58" r:id="rId19" display="https://www.youtube.com/ARG1880"/>
    <hyperlink ref="E59" r:id="rId20" display="https://www.youtube.com/channel/UCiHoMDXJQboJy1UEN-hBU9A"/>
    <hyperlink ref="E60" r:id="rId21" display="https://www.youtube.com/gmicafghanistan"/>
    <hyperlink ref="E61" r:id="rId22" display="https://www.youtube.com/presidentpress"/>
    <hyperlink ref="E62" r:id="rId23" display="https://www.youtube.com/egovernmentam"/>
    <hyperlink ref="E64" r:id="rId24" display="https://www.youtube.com/presidentaz"/>
    <hyperlink ref="E65" r:id="rId25" display="https://www.youtube.com/MFAAzerbaijan"/>
    <hyperlink ref="E68" r:id="rId26" display="https://www.youtube.com/bahrainvideo"/>
    <hyperlink ref="E67" r:id="rId27" display="https://www.youtube.com/egovbahrain"/>
    <hyperlink ref="E73" r:id="rId28" display="https://www.youtube.com/channel/UCBmnV-XxYK0kqqMWIqJmR7g"/>
    <hyperlink ref="E75" r:id="rId29" display="https://www.youtube.com/MFAGEO"/>
    <hyperlink ref="E78" r:id="rId30" display="https://www.youtube.com/Indiandiplomacy"/>
    <hyperlink ref="E79" r:id="rId31" display="https://www.youtube.com/MeaIndia"/>
    <hyperlink ref="E85" r:id="rId32" display="https://www.youtube.com/pmoiraqichannel"/>
    <hyperlink ref="E87" r:id="rId33" display="https://www.youtube.com/aljaffaary"/>
    <hyperlink ref="E89" r:id="rId34" display="https://www.youtube.com/israelipm"/>
    <hyperlink ref="E90" r:id="rId35" display="https://www.youtube.com/IsraelMFA"/>
    <hyperlink ref="E92" r:id="rId36" display="https://www.youtube.com/kanteijp"/>
    <hyperlink ref="E93" r:id="rId37" display="https://www.youtube.com/pmojapan"/>
    <hyperlink ref="E94" r:id="rId38" display="https://www.youtube.com/QueenRania"/>
    <hyperlink ref="E95" r:id="rId39" display="https://www.youtube.com/royalhashemitecourt"/>
    <hyperlink ref="E97" r:id="rId40" display="https://www.youtube.com/akordapress"/>
    <hyperlink ref="E102" r:id="rId41" display="https://www.youtube.com/primeministerkz"/>
    <hyperlink ref="E103" r:id="rId42" display="https://www.youtube.com/foreignministry"/>
    <hyperlink ref="E105" r:id="rId43" display="https://www.youtube.com/presidentkg"/>
    <hyperlink ref="E109" r:id="rId44" display="https://www.youtube.com/PejabatPM"/>
    <hyperlink ref="E108" r:id="rId45" display="https://www.youtube.com/NajibRazak"/>
    <hyperlink ref="E111" r:id="rId46" display="https://www.youtube.com/presidencymv"/>
    <hyperlink ref="E112" r:id="rId47" display="https://www.youtube.com/presidentElbegdorj"/>
    <hyperlink ref="E113" r:id="rId48" display="https://www.youtube.com/TheZasag"/>
    <hyperlink ref="E120" r:id="rId49" display="https://www.youtube.com/edp20111"/>
    <hyperlink ref="E122" r:id="rId50" display="https://www.youtube.com/RTVMalacanang"/>
    <hyperlink ref="E119" r:id="rId51"/>
    <hyperlink ref="E127" r:id="rId52" display="https://www.youtube.com/govsingapore"/>
    <hyperlink ref="E128" r:id="rId53" display="https://www.youtube.com/cheongwadaetv"/>
    <hyperlink ref="E129" r:id="rId54" display="https://www.youtube.com/primeministerkr"/>
    <hyperlink ref="E131" r:id="rId55" display="https://www.youtube.com/SLMFA"/>
    <hyperlink ref="E137" r:id="rId56" display="https://www.youtube.com/HHSMohammedBinRashid"/>
    <hyperlink ref="E139" r:id="rId57" display="https://www.youtube.com/MOFAUAE"/>
    <hyperlink ref="E142" r:id="rId58" display="https://www.youtube.com/channel/UCDDn9tvI20lElkuITgnbkqg"/>
    <hyperlink ref="E143" r:id="rId59" display="https://www.youtube.com/GovernAndorra"/>
    <hyperlink ref="E146" r:id="rId60" display="https://www.youtube.com/ihrbundeskanzleramt"/>
    <hyperlink ref="E147" r:id="rId61" display="https://www.youtube.com/Minoritenplatz8"/>
    <hyperlink ref="E148" r:id="rId62" display="https://www.youtube.com/BelarusMFA"/>
    <hyperlink ref="E150" r:id="rId63"/>
    <hyperlink ref="E152" r:id="rId64" display="https://www.youtube.com/channel/UCky1dYxODbzZmrnmvsY415A"/>
    <hyperlink ref="E153" r:id="rId65" display="https://www.youtube.com/wwwvladahr"/>
    <hyperlink ref="E154" r:id="rId66" display="https://www.youtube.com/mveprh"/>
    <hyperlink ref="E155" r:id="rId67" display="https://www.youtube.com/udenrigsministeriet"/>
    <hyperlink ref="E156" r:id="rId68" display="https://www.youtube.com/presidendikantselei"/>
    <hyperlink ref="E157" r:id="rId69" display="https://www.youtube.com/valitsuseuudised"/>
    <hyperlink ref="E158" r:id="rId70" display="https://www.youtube.com/estonianmfa"/>
    <hyperlink ref="E160" r:id="rId71" display="https://www.youtube.com/eutube"/>
    <hyperlink ref="E161" r:id="rId72" display="https://www.youtube.com/EUExternalAction"/>
    <hyperlink ref="E164" r:id="rId73" display="https://www.youtube.com/VladaMakedonija"/>
    <hyperlink ref="E165" r:id="rId74" display="https://www.youtube.com/mnrmakedonija"/>
    <hyperlink ref="E167" r:id="rId75"/>
    <hyperlink ref="E169" r:id="rId76" display="https://www.youtube.com/ELYSEE"/>
    <hyperlink ref="E172" r:id="rId77" display="https://www.youtube.com/francediplotv"/>
    <hyperlink ref="E173" r:id="rId78" display="https://www.youtube.com/bundesregierung"/>
    <hyperlink ref="E175" r:id="rId79" display="https://www.youtube.com/AuswaertigesAmtDE"/>
    <hyperlink ref="E177" r:id="rId80"/>
    <hyperlink ref="E182" r:id="rId81" display="https://www.youtube.com/PrimeMinisterGR"/>
    <hyperlink ref="E183" r:id="rId82" display="https://www.youtube.com/GreeceMFA"/>
    <hyperlink ref="E184" r:id="rId83" display="https://www.youtube.com/kormanyhu"/>
    <hyperlink ref="E187" r:id="rId84" display="https://www.youtube.com/merrionstreet"/>
    <hyperlink ref="E188" r:id="rId85" display="https://www.youtube.com/presidenzarepubblica"/>
    <hyperlink ref="E190" r:id="rId86" display="https://www.youtube.com/palazzochigi"/>
    <hyperlink ref="E192" r:id="rId87" display="https://www.youtube.com/MinisteroEsteri"/>
    <hyperlink ref="E193" r:id="rId88" display="https://www.youtube.com/presidencakosoves"/>
    <hyperlink ref="E195" r:id="rId89"/>
    <hyperlink ref="E198" r:id="rId90" display="https://www.youtube.com/valstskanceleja"/>
    <hyperlink ref="E199" r:id="rId91" display="https://www.youtube.com/LatvianMFA"/>
    <hyperlink ref="E200" r:id="rId92" display="https://www.youtube.com/RegierungFL"/>
    <hyperlink ref="E201" r:id="rId93" display="https://www.youtube.com/PresidentofLithuania"/>
    <hyperlink ref="E202" r:id="rId94" display="https://www.youtube.com/lrvyriausybe"/>
    <hyperlink ref="E203" r:id="rId95" display="https://www.youtube.com/MFAofLITHUANIA"/>
    <hyperlink ref="E205" r:id="rId96" display="https://www.youtube.com/JosephMUSCATdotcom"/>
    <hyperlink ref="E207" r:id="rId97" display="https://www.youtube.com/channel/UCIXYOBuejyv3il1g8Gd0tHw"/>
    <hyperlink ref="E208" r:id="rId98" display="https://www.youtube.com/MAEIERM"/>
    <hyperlink ref="E210" r:id="rId99" display="https://www.youtube.com/MeGovernment"/>
    <hyperlink ref="E211" r:id="rId100" display="https://www.youtube.com/koninklijkhuis"/>
    <hyperlink ref="E213" r:id="rId101" display="https://www.youtube.com/rijksoverheid"/>
    <hyperlink ref="E212" r:id="rId102" display="https://www.youtube.com/DeMinPres"/>
    <hyperlink ref="E214" r:id="rId103" display="https://www.youtube.com/ministerieBZ"/>
    <hyperlink ref="E215" r:id="rId104" display="https://www.youtube.com/DutchGovernment"/>
    <hyperlink ref="E216" r:id="rId105" display="https://www.youtube.com/kongehuset"/>
    <hyperlink ref="E220" r:id="rId106" display="https://www.youtube.com/wwwprezydentpl"/>
    <hyperlink ref="E222" r:id="rId107" display="https://www.youtube.com/KancelariaPremiera"/>
    <hyperlink ref="E223" r:id="rId108" display="https://www.youtube.com/PolandMFA"/>
    <hyperlink ref="E225" r:id="rId109" display="https://www.youtube.com/PresidenciaRepublica"/>
    <hyperlink ref="E227" r:id="rId110" display="https://www.youtube.com/guvernulromaniei"/>
    <hyperlink ref="E228" r:id="rId111" display="https://www.youtube.com/MAERomania"/>
    <hyperlink ref="E229" r:id="rId112" display="https://www.youtube.com/kremlin"/>
    <hyperlink ref="E231" r:id="rId113" display="https://www.youtube.com/midrftube"/>
    <hyperlink ref="E235" r:id="rId114" display="https://www.youtube.com/mzvsr"/>
    <hyperlink ref="E237" r:id="rId115" display="https://www.youtube.com/channel/UCQr43X77Pvbyl3bsO6xjFmA"/>
    <hyperlink ref="E239" r:id="rId116" display="https://www.youtube.com/lamoncloa"/>
    <hyperlink ref="E240" r:id="rId117" display="https://www.youtube.com/canalmaectv"/>
    <hyperlink ref="E241" r:id="rId118" display="https://www.youtube.com/kungahuset"/>
    <hyperlink ref="E242" r:id="rId119" display="https://www.youtube.com/Utrikesdepartementet"/>
    <hyperlink ref="E248" r:id="rId120" display="https://www.youtube.com/TCDisisleri"/>
    <hyperlink ref="E251" r:id="rId121" display="https://www.youtube.com/PresidentGovUa"/>
    <hyperlink ref="E253" r:id="rId122" display="https://www.youtube.com/UkraineMFA"/>
    <hyperlink ref="E254" r:id="rId123" display="https://www.youtube.com/TheRoyalChannel"/>
    <hyperlink ref="E255" r:id="rId124" display="https://www.youtube.com/number10gov"/>
    <hyperlink ref="E257" r:id="rId125" display="https://www.youtube.com/ukforeignoffice"/>
    <hyperlink ref="E258" r:id="rId126" display="https://www.youtube.com/vatican"/>
    <hyperlink ref="E263" r:id="rId127" display="https://www.youtube.com/vaticancn"/>
    <hyperlink ref="E259" r:id="rId128" display="https://www.youtube.com/vaticanit"/>
    <hyperlink ref="E260" r:id="rId129" display="https://www.youtube.com/vaticanes"/>
    <hyperlink ref="E264" r:id="rId130" display="https://www.youtube.com/vaticanlt"/>
    <hyperlink ref="E262" r:id="rId131" display="https://www.youtube.com/vaticanfr"/>
    <hyperlink ref="E261" r:id="rId132" display="https://www.youtube.com/vaticande"/>
    <hyperlink ref="E265" r:id="rId133" display="https://www.youtube.com/antiguagovernment"/>
    <hyperlink ref="E269" r:id="rId134" display="https://www.youtube.com/channel/UCIVMBvs03h74NSdQMH31jKA"/>
    <hyperlink ref="E270" r:id="rId135" display="https://www.youtube.com/channel/UCC8So6wZcnVYKCI1tRdw6yg"/>
    <hyperlink ref="E272" r:id="rId136" display="https://www.youtube.com/CasaPresidencialCR"/>
    <hyperlink ref="E273" r:id="rId137" display="https://www.youtube.com/cubadebatecu"/>
    <hyperlink ref="E274" r:id="rId138" display="https://www.youtube.com/cubaminrex"/>
    <hyperlink ref="E278" r:id="rId139" display="https://www.youtube.com/PresidenciaRDom"/>
    <hyperlink ref="E281" r:id="rId140" display="https://www.youtube.com/CasaPresidencialSV"/>
    <hyperlink ref="E282" r:id="rId141" display="https://www.youtube.com/cancilleria1"/>
    <hyperlink ref="E283" r:id="rId142" display="https://www.youtube.com/govgd"/>
    <hyperlink ref="E285" r:id="rId143" display="https://www.youtube.com/GobiernodeGuatemala"/>
    <hyperlink ref="E286" r:id="rId144" display="https://www.youtube.com/martelly2010"/>
    <hyperlink ref="E292" r:id="rId145" display="https://www.youtube.com/EnriquePenaNietoTV"/>
    <hyperlink ref="E296" r:id="rId146" display="https://www.youtube.com/GobiernoNacionalPTY"/>
    <hyperlink ref="E297" r:id="rId147" display="https://www.youtube.com/minrexpanama"/>
    <hyperlink ref="E305" r:id="rId148" display="https://www.youtube.com/whitehouse"/>
    <hyperlink ref="E306" r:id="rId149" display="https://www.youtube.com/statevideo"/>
    <hyperlink ref="E309" r:id="rId150" display="https://www.youtube.com/dfat"/>
    <hyperlink ref="E310" r:id="rId151" display="https://www.youtube.com/minfofiji"/>
    <hyperlink ref="E311" r:id="rId152" display="https://www.youtube.com/foreignaffairsfiji"/>
    <hyperlink ref="E314" r:id="rId153" display="https://www.youtube.com/vanuatugovernment"/>
    <hyperlink ref="E316" r:id="rId154" display="https://www.youtube.com/casarosada"/>
    <hyperlink ref="E317" r:id="rId155" display="https://www.youtube.com/MRECICARG"/>
    <hyperlink ref="E322" r:id="rId156" display="https://www.youtube.com/mrebrasil"/>
    <hyperlink ref="E324" r:id="rId157" display="https://www.youtube.com/lamoneda"/>
    <hyperlink ref="E326" r:id="rId158" display="https://www.youtube.com/sigcolombia"/>
    <hyperlink ref="E327" r:id="rId159" display="https://www.youtube.com/CancilleriaCol"/>
    <hyperlink ref="E329" r:id="rId160" display="https://www.youtube.com/presidenciaec"/>
    <hyperlink ref="E331" r:id="rId161" display="https://www.youtube.com/RicardoPatinoA"/>
    <hyperlink ref="E332" r:id="rId162" display="https://www.youtube.com/CancilleriaEcuador"/>
    <hyperlink ref="E333" r:id="rId163" display="https://www.youtube.com/channel/UCv3Sy8PzrAlxncQ9BjOYi9A"/>
    <hyperlink ref="E335" r:id="rId164" display="https://www.youtube.com/PresidenciaPeru"/>
    <hyperlink ref="E337" r:id="rId165" display="https://www.youtube.com/MREPeru"/>
    <hyperlink ref="E338" r:id="rId166" display="https://www.youtube.com/Presidenciatv"/>
    <hyperlink ref="E339" r:id="rId167" display="https://www.youtube.com/channel/UCKyBsWoYy4mcsL9x8gwVI1A"/>
    <hyperlink ref="E341" r:id="rId168" display="https://www.youtube.com/maduromoros"/>
    <hyperlink ref="E342" r:id="rId169" display="https://www.youtube.com/mpprevideos"/>
    <hyperlink ref="E6" r:id="rId170" display="https://www.youtube.com/yayiboni2011"/>
    <hyperlink ref="E15" r:id="rId171"/>
    <hyperlink ref="E245" r:id="rId172"/>
    <hyperlink ref="E224" r:id="rId173"/>
    <hyperlink ref="E57" r:id="rId174"/>
    <hyperlink ref="E304" r:id="rId175"/>
    <hyperlink ref="E51" r:id="rId176"/>
    <hyperlink ref="E236" r:id="rId177"/>
    <hyperlink ref="E256" r:id="rId178"/>
    <hyperlink ref="E334" r:id="rId179"/>
    <hyperlink ref="E279" r:id="rId180"/>
    <hyperlink ref="E289" r:id="rId181"/>
    <hyperlink ref="E206" r:id="rId182"/>
    <hyperlink ref="E17" r:id="rId183"/>
    <hyperlink ref="E159" r:id="rId184"/>
    <hyperlink ref="E168" r:id="rId185"/>
    <hyperlink ref="E162" r:id="rId186"/>
    <hyperlink ref="E171" r:id="rId187"/>
    <hyperlink ref="E86" r:id="rId188"/>
    <hyperlink ref="E81" r:id="rId189"/>
    <hyperlink ref="E291" r:id="rId190"/>
    <hyperlink ref="E22" r:id="rId191"/>
    <hyperlink ref="E80" r:id="rId192"/>
    <hyperlink ref="E141" r:id="rId193"/>
    <hyperlink ref="E226" r:id="rId194"/>
    <hyperlink ref="E14" r:id="rId195"/>
    <hyperlink ref="E16" r:id="rId196"/>
    <hyperlink ref="E28" r:id="rId197"/>
    <hyperlink ref="E47" r:id="rId198"/>
    <hyperlink ref="E50" r:id="rId199"/>
    <hyperlink ref="E63" r:id="rId200"/>
    <hyperlink ref="E69" r:id="rId201"/>
    <hyperlink ref="E70" r:id="rId202"/>
    <hyperlink ref="E76" r:id="rId203"/>
    <hyperlink ref="E88" r:id="rId204"/>
    <hyperlink ref="E99" r:id="rId205"/>
    <hyperlink ref="E100" r:id="rId206"/>
    <hyperlink ref="E101" r:id="rId207"/>
    <hyperlink ref="E104" r:id="rId208"/>
    <hyperlink ref="E98" r:id="rId209" display="https://www.youtube.com/user/pmkzinfo"/>
    <hyperlink ref="E106" r:id="rId210"/>
    <hyperlink ref="E114" r:id="rId211"/>
    <hyperlink ref="E116" r:id="rId212"/>
    <hyperlink ref="E121" r:id="rId213"/>
    <hyperlink ref="E123" r:id="rId214"/>
    <hyperlink ref="E124" r:id="rId215"/>
    <hyperlink ref="E125" r:id="rId216"/>
    <hyperlink ref="E134" r:id="rId217"/>
    <hyperlink ref="E135" r:id="rId218"/>
    <hyperlink ref="E140" r:id="rId219"/>
    <hyperlink ref="E144" r:id="rId220"/>
    <hyperlink ref="E145" r:id="rId221"/>
    <hyperlink ref="E163" r:id="rId222"/>
    <hyperlink ref="E166" r:id="rId223"/>
    <hyperlink ref="E170" r:id="rId224"/>
    <hyperlink ref="E189" r:id="rId225"/>
    <hyperlink ref="E191" r:id="rId226"/>
    <hyperlink ref="E221" r:id="rId227"/>
    <hyperlink ref="E232" r:id="rId228"/>
    <hyperlink ref="E234" r:id="rId229"/>
    <hyperlink ref="E238" r:id="rId230"/>
    <hyperlink ref="E247" r:id="rId231"/>
    <hyperlink ref="E268" r:id="rId232"/>
    <hyperlink ref="E271" r:id="rId233"/>
    <hyperlink ref="E288" r:id="rId234"/>
    <hyperlink ref="E302" r:id="rId235"/>
    <hyperlink ref="E303" r:id="rId236"/>
    <hyperlink ref="E307" r:id="rId237"/>
    <hyperlink ref="E315" r:id="rId238"/>
    <hyperlink ref="E318" r:id="rId239"/>
    <hyperlink ref="E328" r:id="rId240"/>
    <hyperlink ref="E197" r:id="rId241"/>
    <hyperlink ref="E3" r:id="rId242"/>
    <hyperlink ref="E233" r:id="rId243" display="https://www.youtube.com/andrejkiska"/>
    <hyperlink ref="E66" r:id="rId244" display="https://www.youtube.com/bahraincpnews"/>
    <hyperlink ref="E319" r:id="rId245" display="https://www.youtube.com/dilmarousseff"/>
    <hyperlink ref="E107" r:id="rId246" display="https://www.youtube.com/gebranbassil"/>
    <hyperlink ref="E267" r:id="rId247" display="https://www.youtube.com/gobpressoffice"/>
    <hyperlink ref="E194" r:id="rId248" display="https://www.youtube.com/hashimthaciofficial"/>
    <hyperlink ref="E284" r:id="rId249"/>
    <hyperlink ref="E249" r:id="rId250" display="https://www.youtube.com/kamudiplomasisi"/>
    <hyperlink ref="E136" r:id="rId251" display="https://www.youtube.com/kbzayed"/>
    <hyperlink ref="E323" r:id="rId252" display="https://www.youtube.com/michellebacheletpdta"/>
    <hyperlink ref="E117" r:id="rId253" display="https://www.youtube.com/mofaoman"/>
    <hyperlink ref="E336" r:id="rId254" display="https://www.youtube.com/pcmperu"/>
    <hyperlink ref="E9" r:id="rId255" display="https://www.youtube.com/pierrenkurunziza"/>
    <hyperlink ref="E250" r:id="rId256"/>
    <hyperlink ref="E300" r:id="rId257" display="https://www.youtube.com/saintluciagovernment"/>
    <hyperlink ref="E280" r:id="rId258" display="https://www.youtube.com/salvadorpresidente"/>
    <hyperlink ref="E132" r:id="rId259" display="https://www.youtube.com/syrianpresidency"/>
    <hyperlink ref="E244" r:id="rId260" display="https://www.youtube.com/tccumhurbaskanligi"/>
    <hyperlink ref="E126" r:id="rId261" display="https://www.youtube.com/pmosingapore"/>
    <hyperlink ref="E8" r:id="rId262"/>
    <hyperlink ref="E7" r:id="rId263" display="https://www.youtube.com/channel/UCMKu2CsilpW8OZ31LdW0vuw"/>
    <hyperlink ref="E313" r:id="rId264"/>
    <hyperlink ref="E230" r:id="rId265"/>
    <hyperlink ref="E24" r:id="rId266"/>
    <hyperlink ref="E27" r:id="rId267"/>
    <hyperlink ref="E246" r:id="rId268"/>
    <hyperlink ref="E151" r:id="rId269"/>
    <hyperlink ref="E294" r:id="rId270"/>
    <hyperlink ref="E130" r:id="rId271"/>
    <hyperlink ref="E74" r:id="rId272" display="https://www.youtube.com/channel/UCH7NgTLFA_Yxac7fvjVjEVA"/>
    <hyperlink ref="E174" r:id="rId273"/>
    <hyperlink ref="E321" r:id="rId274" display="https://www.youtube.com/canalportalbrasil"/>
    <hyperlink ref="E293" r:id="rId275" display="https://www.youtube.com/user/gobiernofederal"/>
    <hyperlink ref="E179" r:id="rId276"/>
    <hyperlink ref="E178" r:id="rId277"/>
    <hyperlink ref="E180" r:id="rId278"/>
    <hyperlink ref="E181" r:id="rId279"/>
    <hyperlink ref="E176" r:id="rId280"/>
    <hyperlink ref="E299" r:id="rId281" display="https://youtube.com/user/TheSKNIS"/>
    <hyperlink ref="E12" r:id="rId282"/>
    <hyperlink ref="E340" r:id="rId283"/>
    <hyperlink ref="E196" r:id="rId284"/>
    <hyperlink ref="E217" r:id="rId285"/>
    <hyperlink ref="E218" r:id="rId286"/>
    <hyperlink ref="E91" r:id="rId287"/>
    <hyperlink ref="E5" r:id="rId288"/>
    <hyperlink ref="E13" r:id="rId289"/>
    <hyperlink ref="E32" r:id="rId290"/>
    <hyperlink ref="E185" r:id="rId291"/>
    <hyperlink ref="E35" r:id="rId292"/>
    <hyperlink ref="E26" r:id="rId293"/>
    <hyperlink ref="E209" r:id="rId294"/>
    <hyperlink ref="E115" r:id="rId295"/>
    <hyperlink ref="E21" r:id="rId296"/>
    <hyperlink ref="E308" r:id="rId297"/>
    <hyperlink ref="E330" r:id="rId298"/>
    <hyperlink ref="E82" r:id="rId299"/>
    <hyperlink ref="E138" r:id="rId300"/>
    <hyperlink ref="E295" r:id="rId301"/>
    <hyperlink ref="E266" r:id="rId302"/>
    <hyperlink ref="E118" r:id="rId303"/>
    <hyperlink ref="E276" r:id="rId304"/>
    <hyperlink ref="E219" r:id="rId305"/>
    <hyperlink ref="E277" r:id="rId306"/>
    <hyperlink ref="E325" r:id="rId307"/>
    <hyperlink ref="E31" r:id="rId308"/>
    <hyperlink ref="E77" r:id="rId309"/>
    <hyperlink ref="E11" r:id="rId310"/>
    <hyperlink ref="E149" r:id="rId311"/>
    <hyperlink ref="E298" r:id="rId312"/>
    <hyperlink ref="E301" r:id="rId313"/>
    <hyperlink ref="E312" r:id="rId314"/>
    <hyperlink ref="E320" r:id="rId315"/>
  </hyperlinks>
  <pageMargins left="0.7" right="0.7" top="0.75" bottom="0.75" header="0.3" footer="0.3"/>
  <pageSetup orientation="portrait" r:id="rId3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workbookViewId="0"/>
  </sheetViews>
  <sheetFormatPr defaultColWidth="8.7265625" defaultRowHeight="14.5" x14ac:dyDescent="0.35"/>
  <cols>
    <col min="1" max="1" width="8.7265625" style="224"/>
    <col min="2" max="2" width="13.81640625" style="224" customWidth="1"/>
    <col min="3" max="3" width="44.453125" style="224" customWidth="1"/>
    <col min="4" max="4" width="21" style="224" customWidth="1"/>
    <col min="5" max="6" width="24.1796875" style="224" customWidth="1"/>
    <col min="7" max="7" width="19.453125" style="224" customWidth="1"/>
    <col min="8" max="8" width="9.81640625" style="224" customWidth="1"/>
    <col min="9" max="16384" width="8.7265625" style="224"/>
  </cols>
  <sheetData>
    <row r="1" spans="1:16" x14ac:dyDescent="0.35">
      <c r="A1" s="217" t="s">
        <v>1128</v>
      </c>
      <c r="B1" s="222"/>
      <c r="C1" s="222"/>
      <c r="D1" s="222"/>
      <c r="E1" s="222"/>
      <c r="F1" s="222"/>
      <c r="G1" s="222"/>
      <c r="H1" s="222"/>
      <c r="I1" s="222"/>
      <c r="J1" s="222"/>
      <c r="K1" s="222"/>
      <c r="L1" s="222"/>
      <c r="M1" s="222"/>
      <c r="N1" s="222"/>
      <c r="O1" s="222"/>
      <c r="P1" s="223"/>
    </row>
    <row r="2" spans="1:16" ht="15" thickBot="1" x14ac:dyDescent="0.4">
      <c r="A2" s="218" t="s">
        <v>932</v>
      </c>
      <c r="B2" s="219" t="s">
        <v>933</v>
      </c>
      <c r="C2" s="219" t="s">
        <v>934</v>
      </c>
      <c r="D2" s="219" t="s">
        <v>935</v>
      </c>
      <c r="E2" s="219" t="s">
        <v>936</v>
      </c>
      <c r="F2" s="219" t="s">
        <v>760</v>
      </c>
      <c r="G2" s="219" t="s">
        <v>761</v>
      </c>
      <c r="H2" s="219" t="s">
        <v>763</v>
      </c>
      <c r="I2" s="219" t="s">
        <v>764</v>
      </c>
      <c r="J2" s="219" t="s">
        <v>765</v>
      </c>
      <c r="K2" s="219" t="s">
        <v>766</v>
      </c>
      <c r="L2" s="219" t="s">
        <v>937</v>
      </c>
      <c r="M2" s="219" t="s">
        <v>938</v>
      </c>
      <c r="N2" s="225"/>
      <c r="O2" s="225"/>
      <c r="P2" s="226"/>
    </row>
    <row r="3" spans="1:16" x14ac:dyDescent="0.35">
      <c r="A3" s="227">
        <v>1</v>
      </c>
      <c r="B3" s="228" t="s">
        <v>1003</v>
      </c>
      <c r="C3" s="208" t="s">
        <v>1004</v>
      </c>
      <c r="D3" s="208" t="s">
        <v>1005</v>
      </c>
      <c r="E3" s="208" t="s">
        <v>1006</v>
      </c>
      <c r="F3" s="208" t="s">
        <v>910</v>
      </c>
      <c r="G3" s="208" t="s">
        <v>943</v>
      </c>
      <c r="H3" s="209">
        <v>13338819</v>
      </c>
      <c r="I3" s="209">
        <v>31479</v>
      </c>
      <c r="J3" s="209">
        <v>3043</v>
      </c>
      <c r="K3" s="209">
        <v>1177</v>
      </c>
      <c r="L3" s="209">
        <v>35699</v>
      </c>
      <c r="M3" s="229">
        <v>2.6763238934421406E-3</v>
      </c>
      <c r="N3" s="215">
        <f t="shared" ref="N3:N12" si="0">SUM(I3)/(I3+J3)</f>
        <v>0.91185331093215916</v>
      </c>
      <c r="O3" s="215">
        <f t="shared" ref="O3:O12" si="1">SUM(J3)/(I3+J3)</f>
        <v>8.8146689067840803E-2</v>
      </c>
      <c r="P3" s="230">
        <f t="shared" ref="P3:P12" si="2">SUM(I3-J3)</f>
        <v>28436</v>
      </c>
    </row>
    <row r="4" spans="1:16" x14ac:dyDescent="0.35">
      <c r="A4" s="231">
        <v>2</v>
      </c>
      <c r="B4" s="199" t="s">
        <v>988</v>
      </c>
      <c r="C4" s="92" t="s">
        <v>989</v>
      </c>
      <c r="D4" s="92" t="s">
        <v>990</v>
      </c>
      <c r="E4" s="92" t="s">
        <v>991</v>
      </c>
      <c r="F4" s="92" t="s">
        <v>910</v>
      </c>
      <c r="G4" s="92" t="s">
        <v>943</v>
      </c>
      <c r="H4" s="108">
        <v>9365950</v>
      </c>
      <c r="I4" s="108">
        <v>61174</v>
      </c>
      <c r="J4" s="108">
        <v>5672</v>
      </c>
      <c r="K4" s="108">
        <v>0</v>
      </c>
      <c r="L4" s="108">
        <v>66846</v>
      </c>
      <c r="M4" s="232">
        <v>7.1371297092126269E-3</v>
      </c>
      <c r="N4" s="214">
        <f t="shared" si="0"/>
        <v>0.91514825120426058</v>
      </c>
      <c r="O4" s="214">
        <f t="shared" si="1"/>
        <v>8.4851748795739465E-2</v>
      </c>
      <c r="P4" s="233">
        <f t="shared" si="2"/>
        <v>55502</v>
      </c>
    </row>
    <row r="5" spans="1:16" x14ac:dyDescent="0.35">
      <c r="A5" s="231">
        <v>3</v>
      </c>
      <c r="B5" s="199" t="s">
        <v>1116</v>
      </c>
      <c r="C5" s="92" t="s">
        <v>1117</v>
      </c>
      <c r="D5" s="92" t="s">
        <v>1118</v>
      </c>
      <c r="E5" s="92" t="s">
        <v>1119</v>
      </c>
      <c r="F5" s="92" t="s">
        <v>808</v>
      </c>
      <c r="G5" s="92" t="s">
        <v>182</v>
      </c>
      <c r="H5" s="108">
        <v>9305380</v>
      </c>
      <c r="I5" s="108">
        <v>4318</v>
      </c>
      <c r="J5" s="108">
        <v>1054</v>
      </c>
      <c r="K5" s="108">
        <v>1407</v>
      </c>
      <c r="L5" s="108">
        <v>6779</v>
      </c>
      <c r="M5" s="232">
        <v>7.2850329594277715E-4</v>
      </c>
      <c r="N5" s="214">
        <f t="shared" si="0"/>
        <v>0.80379746835443033</v>
      </c>
      <c r="O5" s="214">
        <f t="shared" si="1"/>
        <v>0.19620253164556961</v>
      </c>
      <c r="P5" s="233">
        <f t="shared" si="2"/>
        <v>3264</v>
      </c>
    </row>
    <row r="6" spans="1:16" x14ac:dyDescent="0.35">
      <c r="A6" s="231">
        <v>4</v>
      </c>
      <c r="B6" s="199" t="s">
        <v>1011</v>
      </c>
      <c r="C6" s="92" t="s">
        <v>1012</v>
      </c>
      <c r="D6" s="92" t="s">
        <v>1013</v>
      </c>
      <c r="E6" s="92" t="s">
        <v>1014</v>
      </c>
      <c r="F6" s="92" t="s">
        <v>845</v>
      </c>
      <c r="G6" s="92" t="s">
        <v>288</v>
      </c>
      <c r="H6" s="108">
        <v>7900323</v>
      </c>
      <c r="I6" s="108">
        <v>30420</v>
      </c>
      <c r="J6" s="108">
        <v>5036</v>
      </c>
      <c r="K6" s="108">
        <v>44105</v>
      </c>
      <c r="L6" s="108">
        <v>79561</v>
      </c>
      <c r="M6" s="232">
        <v>1.0070600910874151E-2</v>
      </c>
      <c r="N6" s="214">
        <f t="shared" si="0"/>
        <v>0.8579648014440433</v>
      </c>
      <c r="O6" s="214">
        <f t="shared" si="1"/>
        <v>0.14203519855595667</v>
      </c>
      <c r="P6" s="233">
        <f t="shared" si="2"/>
        <v>25384</v>
      </c>
    </row>
    <row r="7" spans="1:16" x14ac:dyDescent="0.35">
      <c r="A7" s="231">
        <v>5</v>
      </c>
      <c r="B7" s="199" t="s">
        <v>1061</v>
      </c>
      <c r="C7" s="92" t="s">
        <v>1062</v>
      </c>
      <c r="D7" s="92" t="s">
        <v>1063</v>
      </c>
      <c r="E7" s="92" t="s">
        <v>1064</v>
      </c>
      <c r="F7" s="92" t="s">
        <v>910</v>
      </c>
      <c r="G7" s="92" t="s">
        <v>943</v>
      </c>
      <c r="H7" s="108">
        <v>7258390</v>
      </c>
      <c r="I7" s="108">
        <v>27728</v>
      </c>
      <c r="J7" s="108">
        <v>2903</v>
      </c>
      <c r="K7" s="108">
        <v>6381</v>
      </c>
      <c r="L7" s="108">
        <v>37012</v>
      </c>
      <c r="M7" s="232">
        <v>5.09920244021057E-3</v>
      </c>
      <c r="N7" s="214">
        <f t="shared" si="0"/>
        <v>0.9052267310894192</v>
      </c>
      <c r="O7" s="214">
        <f t="shared" si="1"/>
        <v>9.4773268910580785E-2</v>
      </c>
      <c r="P7" s="233">
        <f t="shared" si="2"/>
        <v>24825</v>
      </c>
    </row>
    <row r="8" spans="1:16" x14ac:dyDescent="0.35">
      <c r="A8" s="231">
        <v>6</v>
      </c>
      <c r="B8" s="199" t="s">
        <v>992</v>
      </c>
      <c r="C8" s="92" t="s">
        <v>993</v>
      </c>
      <c r="D8" s="92" t="s">
        <v>994</v>
      </c>
      <c r="E8" s="92" t="s">
        <v>995</v>
      </c>
      <c r="F8" s="92" t="s">
        <v>845</v>
      </c>
      <c r="G8" s="92" t="s">
        <v>288</v>
      </c>
      <c r="H8" s="108">
        <v>7195720</v>
      </c>
      <c r="I8" s="108">
        <v>54472</v>
      </c>
      <c r="J8" s="108">
        <v>10623</v>
      </c>
      <c r="K8" s="108">
        <v>85114</v>
      </c>
      <c r="L8" s="108">
        <v>150209</v>
      </c>
      <c r="M8" s="232">
        <v>2.0874770002167954E-2</v>
      </c>
      <c r="N8" s="214">
        <f t="shared" si="0"/>
        <v>0.83680774253014822</v>
      </c>
      <c r="O8" s="214">
        <f t="shared" si="1"/>
        <v>0.16319225746985175</v>
      </c>
      <c r="P8" s="233">
        <f t="shared" si="2"/>
        <v>43849</v>
      </c>
    </row>
    <row r="9" spans="1:16" x14ac:dyDescent="0.35">
      <c r="A9" s="231">
        <v>7</v>
      </c>
      <c r="B9" s="199" t="s">
        <v>1019</v>
      </c>
      <c r="C9" s="92" t="s">
        <v>1020</v>
      </c>
      <c r="D9" s="92" t="s">
        <v>1021</v>
      </c>
      <c r="E9" s="92" t="s">
        <v>1022</v>
      </c>
      <c r="F9" s="92" t="s">
        <v>910</v>
      </c>
      <c r="G9" s="92" t="s">
        <v>943</v>
      </c>
      <c r="H9" s="108">
        <v>5946383</v>
      </c>
      <c r="I9" s="108">
        <v>28493</v>
      </c>
      <c r="J9" s="108">
        <v>2247</v>
      </c>
      <c r="K9" s="108">
        <v>4</v>
      </c>
      <c r="L9" s="108">
        <v>30744</v>
      </c>
      <c r="M9" s="232">
        <v>5.1702017848497149E-3</v>
      </c>
      <c r="N9" s="214">
        <f t="shared" si="0"/>
        <v>0.92690305790500971</v>
      </c>
      <c r="O9" s="214">
        <f t="shared" si="1"/>
        <v>7.3096942094990236E-2</v>
      </c>
      <c r="P9" s="233">
        <f t="shared" si="2"/>
        <v>26246</v>
      </c>
    </row>
    <row r="10" spans="1:16" x14ac:dyDescent="0.35">
      <c r="A10" s="231">
        <v>8</v>
      </c>
      <c r="B10" s="199" t="s">
        <v>1015</v>
      </c>
      <c r="C10" s="92" t="s">
        <v>1016</v>
      </c>
      <c r="D10" s="92" t="s">
        <v>1017</v>
      </c>
      <c r="E10" s="92" t="s">
        <v>1018</v>
      </c>
      <c r="F10" s="92" t="s">
        <v>845</v>
      </c>
      <c r="G10" s="92" t="s">
        <v>288</v>
      </c>
      <c r="H10" s="108">
        <v>5942336</v>
      </c>
      <c r="I10" s="108">
        <v>29993</v>
      </c>
      <c r="J10" s="108">
        <v>2865</v>
      </c>
      <c r="K10" s="108">
        <v>5844</v>
      </c>
      <c r="L10" s="108">
        <v>38702</v>
      </c>
      <c r="M10" s="232">
        <v>6.5129269028207093E-3</v>
      </c>
      <c r="N10" s="214">
        <f t="shared" si="0"/>
        <v>0.91280662243593647</v>
      </c>
      <c r="O10" s="214">
        <f t="shared" si="1"/>
        <v>8.7193377564063548E-2</v>
      </c>
      <c r="P10" s="233">
        <f t="shared" si="2"/>
        <v>27128</v>
      </c>
    </row>
    <row r="11" spans="1:16" x14ac:dyDescent="0.35">
      <c r="A11" s="231">
        <v>9</v>
      </c>
      <c r="B11" s="199" t="s">
        <v>1120</v>
      </c>
      <c r="C11" s="92" t="s">
        <v>1121</v>
      </c>
      <c r="D11" s="92" t="s">
        <v>1122</v>
      </c>
      <c r="E11" s="92" t="s">
        <v>1123</v>
      </c>
      <c r="F11" s="92" t="s">
        <v>910</v>
      </c>
      <c r="G11" s="92" t="s">
        <v>943</v>
      </c>
      <c r="H11" s="108">
        <v>5538894</v>
      </c>
      <c r="I11" s="108">
        <v>18565</v>
      </c>
      <c r="J11" s="108">
        <v>2343</v>
      </c>
      <c r="K11" s="108">
        <v>995</v>
      </c>
      <c r="L11" s="108">
        <v>21903</v>
      </c>
      <c r="M11" s="232">
        <v>3.9543995606343071E-3</v>
      </c>
      <c r="N11" s="214">
        <f t="shared" si="0"/>
        <v>0.8879376315286015</v>
      </c>
      <c r="O11" s="214">
        <f t="shared" si="1"/>
        <v>0.11206236847139851</v>
      </c>
      <c r="P11" s="233">
        <f t="shared" si="2"/>
        <v>16222</v>
      </c>
    </row>
    <row r="12" spans="1:16" ht="15" thickBot="1" x14ac:dyDescent="0.4">
      <c r="A12" s="234">
        <v>10</v>
      </c>
      <c r="B12" s="235" t="s">
        <v>1124</v>
      </c>
      <c r="C12" s="188" t="s">
        <v>1125</v>
      </c>
      <c r="D12" s="188" t="s">
        <v>1126</v>
      </c>
      <c r="E12" s="188" t="s">
        <v>1127</v>
      </c>
      <c r="F12" s="188" t="s">
        <v>910</v>
      </c>
      <c r="G12" s="188" t="s">
        <v>943</v>
      </c>
      <c r="H12" s="189">
        <v>5025383</v>
      </c>
      <c r="I12" s="189">
        <v>19378</v>
      </c>
      <c r="J12" s="189">
        <v>4216</v>
      </c>
      <c r="K12" s="189">
        <v>20</v>
      </c>
      <c r="L12" s="189">
        <v>23614</v>
      </c>
      <c r="M12" s="236">
        <v>4.6989453341168223E-3</v>
      </c>
      <c r="N12" s="216">
        <f t="shared" si="0"/>
        <v>0.82131050267017036</v>
      </c>
      <c r="O12" s="216">
        <f t="shared" si="1"/>
        <v>0.17868949732982961</v>
      </c>
      <c r="P12" s="237">
        <f t="shared" si="2"/>
        <v>15162</v>
      </c>
    </row>
    <row r="13" spans="1:16" ht="15" thickBot="1" x14ac:dyDescent="0.4"/>
    <row r="14" spans="1:16" x14ac:dyDescent="0.35">
      <c r="A14" s="217" t="s">
        <v>931</v>
      </c>
      <c r="B14" s="222"/>
      <c r="C14" s="222"/>
      <c r="D14" s="222"/>
      <c r="E14" s="222"/>
      <c r="F14" s="222"/>
      <c r="G14" s="222"/>
      <c r="H14" s="222"/>
      <c r="I14" s="222"/>
      <c r="J14" s="222"/>
      <c r="K14" s="222"/>
      <c r="L14" s="222"/>
      <c r="M14" s="223"/>
    </row>
    <row r="15" spans="1:16" ht="15" thickBot="1" x14ac:dyDescent="0.4">
      <c r="A15" s="220" t="s">
        <v>932</v>
      </c>
      <c r="B15" s="207" t="s">
        <v>933</v>
      </c>
      <c r="C15" s="207" t="s">
        <v>934</v>
      </c>
      <c r="D15" s="207" t="s">
        <v>935</v>
      </c>
      <c r="E15" s="207" t="s">
        <v>936</v>
      </c>
      <c r="F15" s="207" t="s">
        <v>760</v>
      </c>
      <c r="G15" s="207" t="s">
        <v>761</v>
      </c>
      <c r="H15" s="207" t="s">
        <v>763</v>
      </c>
      <c r="I15" s="207" t="s">
        <v>764</v>
      </c>
      <c r="J15" s="207" t="s">
        <v>765</v>
      </c>
      <c r="K15" s="207" t="s">
        <v>766</v>
      </c>
      <c r="L15" s="207" t="s">
        <v>937</v>
      </c>
      <c r="M15" s="221" t="s">
        <v>938</v>
      </c>
    </row>
    <row r="16" spans="1:16" x14ac:dyDescent="0.35">
      <c r="A16" s="227">
        <v>1</v>
      </c>
      <c r="B16" s="228" t="s">
        <v>939</v>
      </c>
      <c r="C16" s="208" t="s">
        <v>940</v>
      </c>
      <c r="D16" s="208" t="s">
        <v>941</v>
      </c>
      <c r="E16" s="208" t="s">
        <v>942</v>
      </c>
      <c r="F16" s="208" t="s">
        <v>910</v>
      </c>
      <c r="G16" s="208" t="s">
        <v>943</v>
      </c>
      <c r="H16" s="209">
        <v>21344</v>
      </c>
      <c r="I16" s="209">
        <v>179</v>
      </c>
      <c r="J16" s="209">
        <v>32</v>
      </c>
      <c r="K16" s="209">
        <v>30</v>
      </c>
      <c r="L16" s="209">
        <v>241</v>
      </c>
      <c r="M16" s="238">
        <v>1.1291229385307347E-2</v>
      </c>
    </row>
    <row r="17" spans="1:13" x14ac:dyDescent="0.35">
      <c r="A17" s="231">
        <v>2</v>
      </c>
      <c r="B17" s="199" t="s">
        <v>944</v>
      </c>
      <c r="C17" s="92" t="s">
        <v>945</v>
      </c>
      <c r="D17" s="92" t="s">
        <v>946</v>
      </c>
      <c r="E17" s="92" t="s">
        <v>947</v>
      </c>
      <c r="F17" s="92" t="s">
        <v>824</v>
      </c>
      <c r="G17" s="92" t="s">
        <v>199</v>
      </c>
      <c r="H17" s="108">
        <v>483</v>
      </c>
      <c r="I17" s="108">
        <v>1</v>
      </c>
      <c r="J17" s="108">
        <v>0</v>
      </c>
      <c r="K17" s="108">
        <v>1</v>
      </c>
      <c r="L17" s="108">
        <v>2</v>
      </c>
      <c r="M17" s="239">
        <v>4.140786749482402E-3</v>
      </c>
    </row>
    <row r="18" spans="1:13" x14ac:dyDescent="0.35">
      <c r="A18" s="231">
        <v>3</v>
      </c>
      <c r="B18" s="199" t="s">
        <v>948</v>
      </c>
      <c r="C18" s="92" t="s">
        <v>949</v>
      </c>
      <c r="D18" s="92" t="s">
        <v>950</v>
      </c>
      <c r="E18" s="92" t="s">
        <v>951</v>
      </c>
      <c r="F18" s="92" t="s">
        <v>795</v>
      </c>
      <c r="G18" s="92" t="s">
        <v>293</v>
      </c>
      <c r="H18" s="108">
        <v>2678</v>
      </c>
      <c r="I18" s="108" t="s">
        <v>952</v>
      </c>
      <c r="J18" s="108" t="s">
        <v>953</v>
      </c>
      <c r="K18" s="108">
        <v>4</v>
      </c>
      <c r="L18" s="108">
        <v>4</v>
      </c>
      <c r="M18" s="239">
        <v>1.4936519790888724E-3</v>
      </c>
    </row>
    <row r="19" spans="1:13" x14ac:dyDescent="0.35">
      <c r="A19" s="231">
        <v>4</v>
      </c>
      <c r="B19" s="199" t="s">
        <v>954</v>
      </c>
      <c r="C19" s="92" t="s">
        <v>955</v>
      </c>
      <c r="D19" s="92" t="s">
        <v>956</v>
      </c>
      <c r="E19" s="92" t="s">
        <v>957</v>
      </c>
      <c r="F19" s="92" t="s">
        <v>837</v>
      </c>
      <c r="G19" s="92" t="s">
        <v>289</v>
      </c>
      <c r="H19" s="108">
        <v>458</v>
      </c>
      <c r="I19" s="108">
        <v>3</v>
      </c>
      <c r="J19" s="108">
        <v>4</v>
      </c>
      <c r="K19" s="108">
        <v>0</v>
      </c>
      <c r="L19" s="108">
        <v>7</v>
      </c>
      <c r="M19" s="239">
        <v>1.5283842794759825E-2</v>
      </c>
    </row>
    <row r="20" spans="1:13" x14ac:dyDescent="0.35">
      <c r="A20" s="231">
        <v>5</v>
      </c>
      <c r="B20" s="199" t="s">
        <v>958</v>
      </c>
      <c r="C20" s="92" t="s">
        <v>959</v>
      </c>
      <c r="D20" s="92" t="s">
        <v>960</v>
      </c>
      <c r="E20" s="92" t="s">
        <v>961</v>
      </c>
      <c r="F20" s="92" t="s">
        <v>808</v>
      </c>
      <c r="G20" s="92" t="s">
        <v>182</v>
      </c>
      <c r="H20" s="108">
        <v>23695</v>
      </c>
      <c r="I20" s="108">
        <v>23</v>
      </c>
      <c r="J20" s="108">
        <v>11</v>
      </c>
      <c r="K20" s="108" t="s">
        <v>962</v>
      </c>
      <c r="L20" s="108">
        <v>34</v>
      </c>
      <c r="M20" s="239">
        <v>1.4349018780333404E-3</v>
      </c>
    </row>
    <row r="21" spans="1:13" x14ac:dyDescent="0.35">
      <c r="A21" s="231">
        <v>6</v>
      </c>
      <c r="B21" s="199" t="s">
        <v>963</v>
      </c>
      <c r="C21" s="92" t="s">
        <v>964</v>
      </c>
      <c r="D21" s="92" t="s">
        <v>965</v>
      </c>
      <c r="E21" s="92" t="s">
        <v>966</v>
      </c>
      <c r="F21" s="92" t="s">
        <v>841</v>
      </c>
      <c r="G21" s="92" t="s">
        <v>622</v>
      </c>
      <c r="H21" s="108">
        <v>7095</v>
      </c>
      <c r="I21" s="108">
        <v>5</v>
      </c>
      <c r="J21" s="108">
        <v>0</v>
      </c>
      <c r="K21" s="108">
        <v>0</v>
      </c>
      <c r="L21" s="108">
        <v>5</v>
      </c>
      <c r="M21" s="239">
        <v>7.0472163495419312E-4</v>
      </c>
    </row>
    <row r="22" spans="1:13" x14ac:dyDescent="0.35">
      <c r="A22" s="231">
        <v>7</v>
      </c>
      <c r="B22" s="199" t="s">
        <v>967</v>
      </c>
      <c r="C22" s="92" t="s">
        <v>968</v>
      </c>
      <c r="D22" s="92" t="s">
        <v>969</v>
      </c>
      <c r="E22" s="92" t="s">
        <v>970</v>
      </c>
      <c r="F22" s="92" t="s">
        <v>839</v>
      </c>
      <c r="G22" s="92" t="s">
        <v>246</v>
      </c>
      <c r="H22" s="108">
        <v>200236</v>
      </c>
      <c r="I22" s="108">
        <v>313</v>
      </c>
      <c r="J22" s="108">
        <v>82</v>
      </c>
      <c r="K22" s="108" t="s">
        <v>962</v>
      </c>
      <c r="L22" s="108">
        <v>395</v>
      </c>
      <c r="M22" s="239">
        <v>1.9726722467488362E-3</v>
      </c>
    </row>
    <row r="23" spans="1:13" x14ac:dyDescent="0.35">
      <c r="A23" s="231">
        <v>8</v>
      </c>
      <c r="B23" s="199" t="s">
        <v>971</v>
      </c>
      <c r="C23" s="92" t="s">
        <v>972</v>
      </c>
      <c r="D23" s="92" t="s">
        <v>973</v>
      </c>
      <c r="E23" s="92" t="s">
        <v>974</v>
      </c>
      <c r="F23" s="92" t="s">
        <v>818</v>
      </c>
      <c r="G23" s="92" t="s">
        <v>819</v>
      </c>
      <c r="H23" s="108">
        <v>1864</v>
      </c>
      <c r="I23" s="108">
        <v>5</v>
      </c>
      <c r="J23" s="108">
        <v>6</v>
      </c>
      <c r="K23" s="108">
        <v>0</v>
      </c>
      <c r="L23" s="108">
        <v>11</v>
      </c>
      <c r="M23" s="239">
        <v>5.9012875536480691E-3</v>
      </c>
    </row>
    <row r="24" spans="1:13" x14ac:dyDescent="0.35">
      <c r="A24" s="231">
        <v>9</v>
      </c>
      <c r="B24" s="199" t="s">
        <v>975</v>
      </c>
      <c r="C24" s="92" t="s">
        <v>976</v>
      </c>
      <c r="D24" s="92" t="s">
        <v>977</v>
      </c>
      <c r="E24" s="92" t="s">
        <v>978</v>
      </c>
      <c r="F24" s="92" t="s">
        <v>843</v>
      </c>
      <c r="G24" s="92" t="s">
        <v>404</v>
      </c>
      <c r="H24" s="108">
        <v>885</v>
      </c>
      <c r="I24" s="108" t="s">
        <v>952</v>
      </c>
      <c r="J24" s="108" t="s">
        <v>953</v>
      </c>
      <c r="K24" s="108" t="s">
        <v>962</v>
      </c>
      <c r="L24" s="108">
        <v>0</v>
      </c>
      <c r="M24" s="239">
        <v>0</v>
      </c>
    </row>
    <row r="25" spans="1:13" ht="15" thickBot="1" x14ac:dyDescent="0.4">
      <c r="A25" s="234">
        <v>10</v>
      </c>
      <c r="B25" s="235" t="s">
        <v>979</v>
      </c>
      <c r="C25" s="188" t="s">
        <v>980</v>
      </c>
      <c r="D25" s="188" t="s">
        <v>981</v>
      </c>
      <c r="E25" s="188" t="s">
        <v>982</v>
      </c>
      <c r="F25" s="188" t="s">
        <v>833</v>
      </c>
      <c r="G25" s="188" t="s">
        <v>115</v>
      </c>
      <c r="H25" s="189">
        <v>1830977</v>
      </c>
      <c r="I25" s="189">
        <v>4779</v>
      </c>
      <c r="J25" s="189">
        <v>848</v>
      </c>
      <c r="K25" s="189" t="s">
        <v>962</v>
      </c>
      <c r="L25" s="189">
        <v>5627</v>
      </c>
      <c r="M25" s="240">
        <v>3.0732226565380123E-3</v>
      </c>
    </row>
    <row r="26" spans="1:13" ht="15" thickBot="1" x14ac:dyDescent="0.4"/>
    <row r="27" spans="1:13" x14ac:dyDescent="0.35">
      <c r="A27" s="217" t="s">
        <v>983</v>
      </c>
      <c r="B27" s="222"/>
      <c r="C27" s="222"/>
      <c r="D27" s="222"/>
      <c r="E27" s="222"/>
      <c r="F27" s="222"/>
      <c r="G27" s="222"/>
      <c r="H27" s="222"/>
      <c r="I27" s="222"/>
      <c r="J27" s="222"/>
      <c r="K27" s="222"/>
      <c r="L27" s="222"/>
      <c r="M27" s="223"/>
    </row>
    <row r="28" spans="1:13" ht="15" thickBot="1" x14ac:dyDescent="0.4">
      <c r="A28" s="220" t="s">
        <v>932</v>
      </c>
      <c r="B28" s="207" t="s">
        <v>933</v>
      </c>
      <c r="C28" s="207" t="s">
        <v>934</v>
      </c>
      <c r="D28" s="207" t="s">
        <v>935</v>
      </c>
      <c r="E28" s="207" t="s">
        <v>936</v>
      </c>
      <c r="F28" s="207" t="s">
        <v>760</v>
      </c>
      <c r="G28" s="207" t="s">
        <v>761</v>
      </c>
      <c r="H28" s="207" t="s">
        <v>763</v>
      </c>
      <c r="I28" s="207" t="s">
        <v>764</v>
      </c>
      <c r="J28" s="207" t="s">
        <v>765</v>
      </c>
      <c r="K28" s="207" t="s">
        <v>766</v>
      </c>
      <c r="L28" s="207" t="s">
        <v>937</v>
      </c>
      <c r="M28" s="221" t="s">
        <v>938</v>
      </c>
    </row>
    <row r="29" spans="1:13" x14ac:dyDescent="0.35">
      <c r="A29" s="227">
        <v>1</v>
      </c>
      <c r="B29" s="228" t="s">
        <v>984</v>
      </c>
      <c r="C29" s="208" t="s">
        <v>985</v>
      </c>
      <c r="D29" s="208" t="s">
        <v>986</v>
      </c>
      <c r="E29" s="208" t="s">
        <v>987</v>
      </c>
      <c r="F29" s="208" t="s">
        <v>845</v>
      </c>
      <c r="G29" s="208" t="s">
        <v>288</v>
      </c>
      <c r="H29" s="209">
        <v>3687403</v>
      </c>
      <c r="I29" s="209">
        <v>71920</v>
      </c>
      <c r="J29" s="209">
        <v>5441</v>
      </c>
      <c r="K29" s="209">
        <v>197671</v>
      </c>
      <c r="L29" s="209">
        <v>275032</v>
      </c>
      <c r="M29" s="238">
        <v>7.4586911167561554E-2</v>
      </c>
    </row>
    <row r="30" spans="1:13" x14ac:dyDescent="0.35">
      <c r="A30" s="231">
        <v>2</v>
      </c>
      <c r="B30" s="199" t="s">
        <v>988</v>
      </c>
      <c r="C30" s="92" t="s">
        <v>989</v>
      </c>
      <c r="D30" s="92" t="s">
        <v>990</v>
      </c>
      <c r="E30" s="92" t="s">
        <v>991</v>
      </c>
      <c r="F30" s="92" t="s">
        <v>910</v>
      </c>
      <c r="G30" s="92" t="s">
        <v>943</v>
      </c>
      <c r="H30" s="108">
        <v>9365950</v>
      </c>
      <c r="I30" s="108">
        <v>61174</v>
      </c>
      <c r="J30" s="108">
        <v>5672</v>
      </c>
      <c r="K30" s="108">
        <v>0</v>
      </c>
      <c r="L30" s="108">
        <v>66846</v>
      </c>
      <c r="M30" s="239">
        <v>7.1371297092126269E-3</v>
      </c>
    </row>
    <row r="31" spans="1:13" x14ac:dyDescent="0.35">
      <c r="A31" s="231">
        <v>3</v>
      </c>
      <c r="B31" s="199" t="s">
        <v>992</v>
      </c>
      <c r="C31" s="92" t="s">
        <v>993</v>
      </c>
      <c r="D31" s="92" t="s">
        <v>994</v>
      </c>
      <c r="E31" s="92" t="s">
        <v>995</v>
      </c>
      <c r="F31" s="92" t="s">
        <v>845</v>
      </c>
      <c r="G31" s="92" t="s">
        <v>288</v>
      </c>
      <c r="H31" s="108">
        <v>7195720</v>
      </c>
      <c r="I31" s="108">
        <v>54472</v>
      </c>
      <c r="J31" s="108">
        <v>10623</v>
      </c>
      <c r="K31" s="108">
        <v>85114</v>
      </c>
      <c r="L31" s="108">
        <v>150209</v>
      </c>
      <c r="M31" s="239">
        <v>2.0874770002167954E-2</v>
      </c>
    </row>
    <row r="32" spans="1:13" x14ac:dyDescent="0.35">
      <c r="A32" s="231">
        <v>4</v>
      </c>
      <c r="B32" s="199" t="s">
        <v>996</v>
      </c>
      <c r="C32" s="92" t="s">
        <v>985</v>
      </c>
      <c r="D32" s="92" t="s">
        <v>997</v>
      </c>
      <c r="E32" s="92" t="s">
        <v>998</v>
      </c>
      <c r="F32" s="92" t="s">
        <v>845</v>
      </c>
      <c r="G32" s="92" t="s">
        <v>288</v>
      </c>
      <c r="H32" s="108">
        <v>1720981</v>
      </c>
      <c r="I32" s="108">
        <v>42403</v>
      </c>
      <c r="J32" s="108">
        <v>3921</v>
      </c>
      <c r="K32" s="108">
        <v>6367</v>
      </c>
      <c r="L32" s="108">
        <v>52691</v>
      </c>
      <c r="M32" s="239">
        <v>3.0616840046461872E-2</v>
      </c>
    </row>
    <row r="33" spans="1:13" x14ac:dyDescent="0.35">
      <c r="A33" s="231">
        <v>5</v>
      </c>
      <c r="B33" s="199" t="s">
        <v>999</v>
      </c>
      <c r="C33" s="92" t="s">
        <v>1000</v>
      </c>
      <c r="D33" s="92" t="s">
        <v>1001</v>
      </c>
      <c r="E33" s="92" t="s">
        <v>1002</v>
      </c>
      <c r="F33" s="92" t="s">
        <v>845</v>
      </c>
      <c r="G33" s="92" t="s">
        <v>288</v>
      </c>
      <c r="H33" s="108">
        <v>3893495</v>
      </c>
      <c r="I33" s="108">
        <v>35445</v>
      </c>
      <c r="J33" s="108">
        <v>2782</v>
      </c>
      <c r="K33" s="108">
        <v>6490</v>
      </c>
      <c r="L33" s="108">
        <v>44717</v>
      </c>
      <c r="M33" s="239">
        <v>1.1485053916853625E-2</v>
      </c>
    </row>
    <row r="34" spans="1:13" x14ac:dyDescent="0.35">
      <c r="A34" s="231">
        <v>6</v>
      </c>
      <c r="B34" s="199" t="s">
        <v>1003</v>
      </c>
      <c r="C34" s="92" t="s">
        <v>1004</v>
      </c>
      <c r="D34" s="92" t="s">
        <v>1005</v>
      </c>
      <c r="E34" s="92" t="s">
        <v>1006</v>
      </c>
      <c r="F34" s="92" t="s">
        <v>910</v>
      </c>
      <c r="G34" s="92" t="s">
        <v>943</v>
      </c>
      <c r="H34" s="108">
        <v>13338819</v>
      </c>
      <c r="I34" s="108">
        <v>31479</v>
      </c>
      <c r="J34" s="108">
        <v>3043</v>
      </c>
      <c r="K34" s="108">
        <v>1177</v>
      </c>
      <c r="L34" s="108">
        <v>35699</v>
      </c>
      <c r="M34" s="239">
        <v>2.6763238934421406E-3</v>
      </c>
    </row>
    <row r="35" spans="1:13" x14ac:dyDescent="0.35">
      <c r="A35" s="231">
        <v>7</v>
      </c>
      <c r="B35" s="199" t="s">
        <v>1007</v>
      </c>
      <c r="C35" s="92" t="s">
        <v>1008</v>
      </c>
      <c r="D35" s="92" t="s">
        <v>1009</v>
      </c>
      <c r="E35" s="92" t="s">
        <v>1010</v>
      </c>
      <c r="F35" s="92" t="s">
        <v>910</v>
      </c>
      <c r="G35" s="92" t="s">
        <v>943</v>
      </c>
      <c r="H35" s="108">
        <v>2733443</v>
      </c>
      <c r="I35" s="108">
        <v>31434</v>
      </c>
      <c r="J35" s="108">
        <v>9248</v>
      </c>
      <c r="K35" s="108">
        <v>1425</v>
      </c>
      <c r="L35" s="108">
        <v>42107</v>
      </c>
      <c r="M35" s="239">
        <v>1.540438194613899E-2</v>
      </c>
    </row>
    <row r="36" spans="1:13" x14ac:dyDescent="0.35">
      <c r="A36" s="231">
        <v>8</v>
      </c>
      <c r="B36" s="199" t="s">
        <v>1011</v>
      </c>
      <c r="C36" s="92" t="s">
        <v>1012</v>
      </c>
      <c r="D36" s="92" t="s">
        <v>1013</v>
      </c>
      <c r="E36" s="92" t="s">
        <v>1014</v>
      </c>
      <c r="F36" s="92" t="s">
        <v>845</v>
      </c>
      <c r="G36" s="92" t="s">
        <v>288</v>
      </c>
      <c r="H36" s="108">
        <v>7900323</v>
      </c>
      <c r="I36" s="108">
        <v>30420</v>
      </c>
      <c r="J36" s="108">
        <v>5036</v>
      </c>
      <c r="K36" s="108">
        <v>44105</v>
      </c>
      <c r="L36" s="108">
        <v>79561</v>
      </c>
      <c r="M36" s="239">
        <v>1.0070600910874151E-2</v>
      </c>
    </row>
    <row r="37" spans="1:13" x14ac:dyDescent="0.35">
      <c r="A37" s="231">
        <v>9</v>
      </c>
      <c r="B37" s="199" t="s">
        <v>1015</v>
      </c>
      <c r="C37" s="92" t="s">
        <v>1016</v>
      </c>
      <c r="D37" s="92" t="s">
        <v>1017</v>
      </c>
      <c r="E37" s="92" t="s">
        <v>1018</v>
      </c>
      <c r="F37" s="92" t="s">
        <v>845</v>
      </c>
      <c r="G37" s="92" t="s">
        <v>288</v>
      </c>
      <c r="H37" s="108">
        <v>5942336</v>
      </c>
      <c r="I37" s="108">
        <v>29993</v>
      </c>
      <c r="J37" s="108">
        <v>2865</v>
      </c>
      <c r="K37" s="108">
        <v>5844</v>
      </c>
      <c r="L37" s="108">
        <v>38702</v>
      </c>
      <c r="M37" s="239">
        <v>6.5129269028207093E-3</v>
      </c>
    </row>
    <row r="38" spans="1:13" ht="15" thickBot="1" x14ac:dyDescent="0.4">
      <c r="A38" s="234">
        <v>10</v>
      </c>
      <c r="B38" s="235" t="s">
        <v>1019</v>
      </c>
      <c r="C38" s="188" t="s">
        <v>1020</v>
      </c>
      <c r="D38" s="188" t="s">
        <v>1021</v>
      </c>
      <c r="E38" s="188" t="s">
        <v>1022</v>
      </c>
      <c r="F38" s="188" t="s">
        <v>910</v>
      </c>
      <c r="G38" s="188" t="s">
        <v>943</v>
      </c>
      <c r="H38" s="189">
        <v>5946383</v>
      </c>
      <c r="I38" s="189">
        <v>28493</v>
      </c>
      <c r="J38" s="189">
        <v>2247</v>
      </c>
      <c r="K38" s="189">
        <v>4</v>
      </c>
      <c r="L38" s="189">
        <v>30744</v>
      </c>
      <c r="M38" s="240">
        <v>5.1702017848497149E-3</v>
      </c>
    </row>
    <row r="39" spans="1:13" ht="15" thickBot="1" x14ac:dyDescent="0.4"/>
    <row r="40" spans="1:13" x14ac:dyDescent="0.35">
      <c r="A40" s="217" t="s">
        <v>1023</v>
      </c>
      <c r="B40" s="222"/>
      <c r="C40" s="222"/>
      <c r="D40" s="222"/>
      <c r="E40" s="222"/>
      <c r="F40" s="222"/>
      <c r="G40" s="222"/>
      <c r="H40" s="222"/>
      <c r="I40" s="222"/>
      <c r="J40" s="222"/>
      <c r="K40" s="222"/>
      <c r="L40" s="222"/>
      <c r="M40" s="223"/>
    </row>
    <row r="41" spans="1:13" ht="15" thickBot="1" x14ac:dyDescent="0.4">
      <c r="A41" s="220" t="s">
        <v>932</v>
      </c>
      <c r="B41" s="207" t="s">
        <v>933</v>
      </c>
      <c r="C41" s="207" t="s">
        <v>934</v>
      </c>
      <c r="D41" s="207" t="s">
        <v>935</v>
      </c>
      <c r="E41" s="207" t="s">
        <v>936</v>
      </c>
      <c r="F41" s="207" t="s">
        <v>760</v>
      </c>
      <c r="G41" s="207" t="s">
        <v>761</v>
      </c>
      <c r="H41" s="207" t="s">
        <v>763</v>
      </c>
      <c r="I41" s="207" t="s">
        <v>764</v>
      </c>
      <c r="J41" s="207" t="s">
        <v>765</v>
      </c>
      <c r="K41" s="207" t="s">
        <v>766</v>
      </c>
      <c r="L41" s="207" t="s">
        <v>937</v>
      </c>
      <c r="M41" s="221" t="s">
        <v>938</v>
      </c>
    </row>
    <row r="42" spans="1:13" x14ac:dyDescent="0.35">
      <c r="A42" s="227">
        <v>1</v>
      </c>
      <c r="B42" s="228" t="s">
        <v>1024</v>
      </c>
      <c r="C42" s="208" t="s">
        <v>1025</v>
      </c>
      <c r="D42" s="208" t="s">
        <v>1026</v>
      </c>
      <c r="E42" s="208" t="s">
        <v>1027</v>
      </c>
      <c r="F42" s="208" t="s">
        <v>807</v>
      </c>
      <c r="G42" s="208" t="s">
        <v>519</v>
      </c>
      <c r="H42" s="209">
        <v>1460247</v>
      </c>
      <c r="I42" s="209">
        <v>1477</v>
      </c>
      <c r="J42" s="209">
        <v>35081</v>
      </c>
      <c r="K42" s="209">
        <v>3</v>
      </c>
      <c r="L42" s="209">
        <v>36561</v>
      </c>
      <c r="M42" s="238">
        <v>2.503754501806886E-2</v>
      </c>
    </row>
    <row r="43" spans="1:13" x14ac:dyDescent="0.35">
      <c r="A43" s="231">
        <v>2</v>
      </c>
      <c r="B43" s="199" t="s">
        <v>1028</v>
      </c>
      <c r="C43" s="92" t="s">
        <v>1029</v>
      </c>
      <c r="D43" s="92" t="s">
        <v>1030</v>
      </c>
      <c r="E43" s="92" t="s">
        <v>1031</v>
      </c>
      <c r="F43" s="92" t="s">
        <v>910</v>
      </c>
      <c r="G43" s="92" t="s">
        <v>943</v>
      </c>
      <c r="H43" s="108">
        <v>3766405</v>
      </c>
      <c r="I43" s="108">
        <v>2327</v>
      </c>
      <c r="J43" s="108">
        <v>30339</v>
      </c>
      <c r="K43" s="108">
        <v>78</v>
      </c>
      <c r="L43" s="108">
        <v>32744</v>
      </c>
      <c r="M43" s="239">
        <v>8.6937012880983332E-3</v>
      </c>
    </row>
    <row r="44" spans="1:13" x14ac:dyDescent="0.35">
      <c r="A44" s="231">
        <v>3</v>
      </c>
      <c r="B44" s="199" t="s">
        <v>1032</v>
      </c>
      <c r="C44" s="92" t="s">
        <v>1033</v>
      </c>
      <c r="D44" s="92" t="s">
        <v>1034</v>
      </c>
      <c r="E44" s="92" t="s">
        <v>1035</v>
      </c>
      <c r="F44" s="92" t="s">
        <v>910</v>
      </c>
      <c r="G44" s="92" t="s">
        <v>943</v>
      </c>
      <c r="H44" s="108">
        <v>2832322</v>
      </c>
      <c r="I44" s="108">
        <v>15669</v>
      </c>
      <c r="J44" s="108">
        <v>20857</v>
      </c>
      <c r="K44" s="108">
        <v>95</v>
      </c>
      <c r="L44" s="108">
        <v>36621</v>
      </c>
      <c r="M44" s="239">
        <v>1.2929673956562849E-2</v>
      </c>
    </row>
    <row r="45" spans="1:13" x14ac:dyDescent="0.35">
      <c r="A45" s="231">
        <v>4</v>
      </c>
      <c r="B45" s="199" t="s">
        <v>1036</v>
      </c>
      <c r="C45" s="92" t="s">
        <v>1037</v>
      </c>
      <c r="D45" s="92" t="s">
        <v>1038</v>
      </c>
      <c r="E45" s="92" t="s">
        <v>1039</v>
      </c>
      <c r="F45" s="92" t="s">
        <v>807</v>
      </c>
      <c r="G45" s="92" t="s">
        <v>519</v>
      </c>
      <c r="H45" s="108">
        <v>424189</v>
      </c>
      <c r="I45" s="108">
        <v>750</v>
      </c>
      <c r="J45" s="108">
        <v>20036</v>
      </c>
      <c r="K45" s="108">
        <v>1</v>
      </c>
      <c r="L45" s="108">
        <v>20787</v>
      </c>
      <c r="M45" s="239">
        <v>4.9004099587683793E-2</v>
      </c>
    </row>
    <row r="46" spans="1:13" x14ac:dyDescent="0.35">
      <c r="A46" s="231">
        <v>5</v>
      </c>
      <c r="B46" s="199" t="s">
        <v>1040</v>
      </c>
      <c r="C46" s="92" t="s">
        <v>1041</v>
      </c>
      <c r="D46" s="92"/>
      <c r="E46" s="92" t="s">
        <v>1042</v>
      </c>
      <c r="F46" s="92" t="s">
        <v>911</v>
      </c>
      <c r="G46" s="92" t="s">
        <v>371</v>
      </c>
      <c r="H46" s="108">
        <v>219850</v>
      </c>
      <c r="I46" s="108">
        <v>1602</v>
      </c>
      <c r="J46" s="108">
        <v>18416</v>
      </c>
      <c r="K46" s="108" t="s">
        <v>962</v>
      </c>
      <c r="L46" s="108">
        <v>20018</v>
      </c>
      <c r="M46" s="239">
        <v>9.1052990675460535E-2</v>
      </c>
    </row>
    <row r="47" spans="1:13" x14ac:dyDescent="0.35">
      <c r="A47" s="231">
        <v>6</v>
      </c>
      <c r="B47" s="199" t="s">
        <v>1043</v>
      </c>
      <c r="C47" s="92" t="s">
        <v>1044</v>
      </c>
      <c r="D47" s="92" t="s">
        <v>1045</v>
      </c>
      <c r="E47" s="92" t="s">
        <v>1046</v>
      </c>
      <c r="F47" s="92" t="s">
        <v>807</v>
      </c>
      <c r="G47" s="92" t="s">
        <v>519</v>
      </c>
      <c r="H47" s="108">
        <v>838555</v>
      </c>
      <c r="I47" s="108">
        <v>2032</v>
      </c>
      <c r="J47" s="108">
        <v>17861</v>
      </c>
      <c r="K47" s="108">
        <v>0</v>
      </c>
      <c r="L47" s="108">
        <v>19893</v>
      </c>
      <c r="M47" s="239">
        <v>2.3722951982875305E-2</v>
      </c>
    </row>
    <row r="48" spans="1:13" x14ac:dyDescent="0.35">
      <c r="A48" s="231">
        <v>7</v>
      </c>
      <c r="B48" s="199" t="s">
        <v>1047</v>
      </c>
      <c r="C48" s="92" t="s">
        <v>1048</v>
      </c>
      <c r="D48" s="92"/>
      <c r="E48" s="92" t="s">
        <v>1049</v>
      </c>
      <c r="F48" s="92" t="s">
        <v>832</v>
      </c>
      <c r="G48" s="92" t="s">
        <v>512</v>
      </c>
      <c r="H48" s="108">
        <v>413738</v>
      </c>
      <c r="I48" s="108">
        <v>1173</v>
      </c>
      <c r="J48" s="108">
        <v>16245</v>
      </c>
      <c r="K48" s="108">
        <v>3378</v>
      </c>
      <c r="L48" s="108">
        <v>20796</v>
      </c>
      <c r="M48" s="239">
        <v>5.0263693448510893E-2</v>
      </c>
    </row>
    <row r="49" spans="1:13" x14ac:dyDescent="0.35">
      <c r="A49" s="231">
        <v>8</v>
      </c>
      <c r="B49" s="199" t="s">
        <v>1050</v>
      </c>
      <c r="C49" s="92" t="s">
        <v>1051</v>
      </c>
      <c r="D49" s="92" t="s">
        <v>1026</v>
      </c>
      <c r="E49" s="92" t="s">
        <v>1052</v>
      </c>
      <c r="F49" s="92" t="s">
        <v>807</v>
      </c>
      <c r="G49" s="92" t="s">
        <v>519</v>
      </c>
      <c r="H49" s="108">
        <v>275731</v>
      </c>
      <c r="I49" s="108">
        <v>1187</v>
      </c>
      <c r="J49" s="108">
        <v>15782</v>
      </c>
      <c r="K49" s="108">
        <v>32</v>
      </c>
      <c r="L49" s="108">
        <v>17001</v>
      </c>
      <c r="M49" s="239">
        <v>6.1657920219344214E-2</v>
      </c>
    </row>
    <row r="50" spans="1:13" x14ac:dyDescent="0.35">
      <c r="A50" s="231">
        <v>9</v>
      </c>
      <c r="B50" s="199" t="s">
        <v>1053</v>
      </c>
      <c r="C50" s="92" t="s">
        <v>1054</v>
      </c>
      <c r="D50" s="92" t="s">
        <v>1055</v>
      </c>
      <c r="E50" s="92" t="s">
        <v>1056</v>
      </c>
      <c r="F50" s="92" t="s">
        <v>807</v>
      </c>
      <c r="G50" s="92" t="s">
        <v>519</v>
      </c>
      <c r="H50" s="108">
        <v>393518</v>
      </c>
      <c r="I50" s="108">
        <v>767</v>
      </c>
      <c r="J50" s="108">
        <v>13498</v>
      </c>
      <c r="K50" s="108">
        <v>71</v>
      </c>
      <c r="L50" s="108">
        <v>14336</v>
      </c>
      <c r="M50" s="239">
        <v>3.6430353884701588E-2</v>
      </c>
    </row>
    <row r="51" spans="1:13" ht="15" thickBot="1" x14ac:dyDescent="0.4">
      <c r="A51" s="234">
        <v>10</v>
      </c>
      <c r="B51" s="235" t="s">
        <v>992</v>
      </c>
      <c r="C51" s="188" t="s">
        <v>993</v>
      </c>
      <c r="D51" s="188" t="s">
        <v>994</v>
      </c>
      <c r="E51" s="188" t="s">
        <v>995</v>
      </c>
      <c r="F51" s="188" t="s">
        <v>845</v>
      </c>
      <c r="G51" s="188" t="s">
        <v>288</v>
      </c>
      <c r="H51" s="189">
        <v>7195720</v>
      </c>
      <c r="I51" s="189">
        <v>54472</v>
      </c>
      <c r="J51" s="189">
        <v>10623</v>
      </c>
      <c r="K51" s="189">
        <v>85114</v>
      </c>
      <c r="L51" s="189">
        <v>150209</v>
      </c>
      <c r="M51" s="240">
        <v>2.0874770002167954E-2</v>
      </c>
    </row>
    <row r="52" spans="1:13" ht="15" thickBot="1" x14ac:dyDescent="0.4"/>
    <row r="53" spans="1:13" x14ac:dyDescent="0.35">
      <c r="A53" s="217" t="s">
        <v>1065</v>
      </c>
      <c r="B53" s="222"/>
      <c r="C53" s="222"/>
      <c r="D53" s="222"/>
      <c r="E53" s="222"/>
      <c r="F53" s="222"/>
      <c r="G53" s="222"/>
      <c r="H53" s="222"/>
      <c r="I53" s="222"/>
      <c r="J53" s="222"/>
      <c r="K53" s="222"/>
      <c r="L53" s="222"/>
      <c r="M53" s="223"/>
    </row>
    <row r="54" spans="1:13" ht="15" thickBot="1" x14ac:dyDescent="0.4">
      <c r="A54" s="220" t="s">
        <v>932</v>
      </c>
      <c r="B54" s="207" t="s">
        <v>933</v>
      </c>
      <c r="C54" s="207" t="s">
        <v>934</v>
      </c>
      <c r="D54" s="207" t="s">
        <v>935</v>
      </c>
      <c r="E54" s="207" t="s">
        <v>936</v>
      </c>
      <c r="F54" s="207" t="s">
        <v>760</v>
      </c>
      <c r="G54" s="207" t="s">
        <v>761</v>
      </c>
      <c r="H54" s="207" t="s">
        <v>763</v>
      </c>
      <c r="I54" s="207" t="s">
        <v>764</v>
      </c>
      <c r="J54" s="207" t="s">
        <v>765</v>
      </c>
      <c r="K54" s="207" t="s">
        <v>766</v>
      </c>
      <c r="L54" s="207" t="s">
        <v>937</v>
      </c>
      <c r="M54" s="221" t="s">
        <v>938</v>
      </c>
    </row>
    <row r="55" spans="1:13" x14ac:dyDescent="0.35">
      <c r="A55" s="227">
        <v>1</v>
      </c>
      <c r="B55" s="228" t="s">
        <v>984</v>
      </c>
      <c r="C55" s="208" t="s">
        <v>985</v>
      </c>
      <c r="D55" s="208" t="s">
        <v>986</v>
      </c>
      <c r="E55" s="208" t="s">
        <v>987</v>
      </c>
      <c r="F55" s="208" t="s">
        <v>845</v>
      </c>
      <c r="G55" s="208" t="s">
        <v>288</v>
      </c>
      <c r="H55" s="209">
        <v>3687403</v>
      </c>
      <c r="I55" s="209">
        <v>71920</v>
      </c>
      <c r="J55" s="209">
        <v>5441</v>
      </c>
      <c r="K55" s="209">
        <v>197671</v>
      </c>
      <c r="L55" s="209">
        <v>275032</v>
      </c>
      <c r="M55" s="238">
        <v>7.4586911167561554E-2</v>
      </c>
    </row>
    <row r="56" spans="1:13" x14ac:dyDescent="0.35">
      <c r="A56" s="231">
        <v>2</v>
      </c>
      <c r="B56" s="199" t="s">
        <v>992</v>
      </c>
      <c r="C56" s="92" t="s">
        <v>993</v>
      </c>
      <c r="D56" s="92" t="s">
        <v>994</v>
      </c>
      <c r="E56" s="92" t="s">
        <v>995</v>
      </c>
      <c r="F56" s="92" t="s">
        <v>845</v>
      </c>
      <c r="G56" s="92" t="s">
        <v>288</v>
      </c>
      <c r="H56" s="108">
        <v>7195720</v>
      </c>
      <c r="I56" s="108">
        <v>54472</v>
      </c>
      <c r="J56" s="108">
        <v>10623</v>
      </c>
      <c r="K56" s="108">
        <v>85114</v>
      </c>
      <c r="L56" s="108">
        <v>150209</v>
      </c>
      <c r="M56" s="239">
        <v>2.0874770002167954E-2</v>
      </c>
    </row>
    <row r="57" spans="1:13" x14ac:dyDescent="0.35">
      <c r="A57" s="231">
        <v>3</v>
      </c>
      <c r="B57" s="199" t="s">
        <v>1011</v>
      </c>
      <c r="C57" s="92" t="s">
        <v>1012</v>
      </c>
      <c r="D57" s="92" t="s">
        <v>1013</v>
      </c>
      <c r="E57" s="92" t="s">
        <v>1014</v>
      </c>
      <c r="F57" s="92" t="s">
        <v>845</v>
      </c>
      <c r="G57" s="92" t="s">
        <v>288</v>
      </c>
      <c r="H57" s="108">
        <v>7900323</v>
      </c>
      <c r="I57" s="108">
        <v>30420</v>
      </c>
      <c r="J57" s="108">
        <v>5036</v>
      </c>
      <c r="K57" s="108">
        <v>44105</v>
      </c>
      <c r="L57" s="108">
        <v>79561</v>
      </c>
      <c r="M57" s="239">
        <v>1.0070600910874151E-2</v>
      </c>
    </row>
    <row r="58" spans="1:13" x14ac:dyDescent="0.35">
      <c r="A58" s="231">
        <v>4</v>
      </c>
      <c r="B58" s="199" t="s">
        <v>988</v>
      </c>
      <c r="C58" s="92" t="s">
        <v>989</v>
      </c>
      <c r="D58" s="92" t="s">
        <v>990</v>
      </c>
      <c r="E58" s="92" t="s">
        <v>991</v>
      </c>
      <c r="F58" s="92" t="s">
        <v>910</v>
      </c>
      <c r="G58" s="92" t="s">
        <v>943</v>
      </c>
      <c r="H58" s="108">
        <v>9365950</v>
      </c>
      <c r="I58" s="108">
        <v>61174</v>
      </c>
      <c r="J58" s="108">
        <v>5672</v>
      </c>
      <c r="K58" s="108">
        <v>0</v>
      </c>
      <c r="L58" s="108">
        <v>66846</v>
      </c>
      <c r="M58" s="239">
        <v>7.1371297092126269E-3</v>
      </c>
    </row>
    <row r="59" spans="1:13" x14ac:dyDescent="0.35">
      <c r="A59" s="231">
        <v>5</v>
      </c>
      <c r="B59" s="199" t="s">
        <v>996</v>
      </c>
      <c r="C59" s="92" t="s">
        <v>985</v>
      </c>
      <c r="D59" s="92" t="s">
        <v>997</v>
      </c>
      <c r="E59" s="92" t="s">
        <v>998</v>
      </c>
      <c r="F59" s="92" t="s">
        <v>845</v>
      </c>
      <c r="G59" s="92" t="s">
        <v>288</v>
      </c>
      <c r="H59" s="108">
        <v>1720981</v>
      </c>
      <c r="I59" s="108">
        <v>42403</v>
      </c>
      <c r="J59" s="108">
        <v>3921</v>
      </c>
      <c r="K59" s="108">
        <v>6367</v>
      </c>
      <c r="L59" s="108">
        <v>52691</v>
      </c>
      <c r="M59" s="239">
        <v>3.0616840046461872E-2</v>
      </c>
    </row>
    <row r="60" spans="1:13" x14ac:dyDescent="0.35">
      <c r="A60" s="231">
        <v>6</v>
      </c>
      <c r="B60" s="199" t="s">
        <v>999</v>
      </c>
      <c r="C60" s="92" t="s">
        <v>1000</v>
      </c>
      <c r="D60" s="92" t="s">
        <v>1001</v>
      </c>
      <c r="E60" s="92" t="s">
        <v>1002</v>
      </c>
      <c r="F60" s="92" t="s">
        <v>845</v>
      </c>
      <c r="G60" s="92" t="s">
        <v>288</v>
      </c>
      <c r="H60" s="108">
        <v>3893495</v>
      </c>
      <c r="I60" s="108">
        <v>35445</v>
      </c>
      <c r="J60" s="108">
        <v>2782</v>
      </c>
      <c r="K60" s="108">
        <v>6490</v>
      </c>
      <c r="L60" s="108">
        <v>44717</v>
      </c>
      <c r="M60" s="239">
        <v>1.1485053916853625E-2</v>
      </c>
    </row>
    <row r="61" spans="1:13" x14ac:dyDescent="0.35">
      <c r="A61" s="231">
        <v>7</v>
      </c>
      <c r="B61" s="199" t="s">
        <v>1007</v>
      </c>
      <c r="C61" s="92" t="s">
        <v>1008</v>
      </c>
      <c r="D61" s="92" t="s">
        <v>1009</v>
      </c>
      <c r="E61" s="92" t="s">
        <v>1010</v>
      </c>
      <c r="F61" s="92" t="s">
        <v>910</v>
      </c>
      <c r="G61" s="92" t="s">
        <v>943</v>
      </c>
      <c r="H61" s="108">
        <v>2733443</v>
      </c>
      <c r="I61" s="108">
        <v>31434</v>
      </c>
      <c r="J61" s="108">
        <v>9248</v>
      </c>
      <c r="K61" s="108">
        <v>1425</v>
      </c>
      <c r="L61" s="108">
        <v>42107</v>
      </c>
      <c r="M61" s="239">
        <v>1.540438194613899E-2</v>
      </c>
    </row>
    <row r="62" spans="1:13" x14ac:dyDescent="0.35">
      <c r="A62" s="231">
        <v>8</v>
      </c>
      <c r="B62" s="199" t="s">
        <v>1057</v>
      </c>
      <c r="C62" s="92" t="s">
        <v>1058</v>
      </c>
      <c r="D62" s="92" t="s">
        <v>1059</v>
      </c>
      <c r="E62" s="92" t="s">
        <v>1060</v>
      </c>
      <c r="F62" s="92" t="s">
        <v>845</v>
      </c>
      <c r="G62" s="92" t="s">
        <v>288</v>
      </c>
      <c r="H62" s="108">
        <v>2779336</v>
      </c>
      <c r="I62" s="108">
        <v>12726</v>
      </c>
      <c r="J62" s="108">
        <v>4674</v>
      </c>
      <c r="K62" s="108">
        <v>22796</v>
      </c>
      <c r="L62" s="108">
        <v>40196</v>
      </c>
      <c r="M62" s="239">
        <v>1.4462447145649177E-2</v>
      </c>
    </row>
    <row r="63" spans="1:13" x14ac:dyDescent="0.35">
      <c r="A63" s="231">
        <v>9</v>
      </c>
      <c r="B63" s="199" t="s">
        <v>1015</v>
      </c>
      <c r="C63" s="92" t="s">
        <v>1016</v>
      </c>
      <c r="D63" s="92" t="s">
        <v>1017</v>
      </c>
      <c r="E63" s="92" t="s">
        <v>1018</v>
      </c>
      <c r="F63" s="92" t="s">
        <v>845</v>
      </c>
      <c r="G63" s="92" t="s">
        <v>288</v>
      </c>
      <c r="H63" s="108">
        <v>5942336</v>
      </c>
      <c r="I63" s="108">
        <v>29993</v>
      </c>
      <c r="J63" s="108">
        <v>2865</v>
      </c>
      <c r="K63" s="108">
        <v>5844</v>
      </c>
      <c r="L63" s="108">
        <v>38702</v>
      </c>
      <c r="M63" s="239">
        <v>6.5129269028207093E-3</v>
      </c>
    </row>
    <row r="64" spans="1:13" ht="15" thickBot="1" x14ac:dyDescent="0.4">
      <c r="A64" s="234">
        <v>10</v>
      </c>
      <c r="B64" s="235" t="s">
        <v>1061</v>
      </c>
      <c r="C64" s="188" t="s">
        <v>1062</v>
      </c>
      <c r="D64" s="188" t="s">
        <v>1063</v>
      </c>
      <c r="E64" s="188" t="s">
        <v>1064</v>
      </c>
      <c r="F64" s="188" t="s">
        <v>910</v>
      </c>
      <c r="G64" s="188" t="s">
        <v>943</v>
      </c>
      <c r="H64" s="189">
        <v>7258390</v>
      </c>
      <c r="I64" s="189">
        <v>27728</v>
      </c>
      <c r="J64" s="189">
        <v>2903</v>
      </c>
      <c r="K64" s="189">
        <v>6381</v>
      </c>
      <c r="L64" s="189">
        <v>37012</v>
      </c>
      <c r="M64" s="240">
        <v>5.09920244021057E-3</v>
      </c>
    </row>
    <row r="77" ht="16" customHeight="1" x14ac:dyDescent="0.35"/>
  </sheetData>
  <hyperlinks>
    <hyperlink ref="B16" r:id="rId1"/>
    <hyperlink ref="B17" r:id="rId2"/>
    <hyperlink ref="B18" r:id="rId3"/>
    <hyperlink ref="B19" r:id="rId4"/>
    <hyperlink ref="B20" r:id="rId5"/>
    <hyperlink ref="B21" r:id="rId6"/>
    <hyperlink ref="B22" r:id="rId7"/>
    <hyperlink ref="B23" r:id="rId8"/>
    <hyperlink ref="B24" r:id="rId9"/>
    <hyperlink ref="B25" r:id="rId10"/>
    <hyperlink ref="B4" r:id="rId11"/>
    <hyperlink ref="B3" r:id="rId12"/>
    <hyperlink ref="B5" r:id="rId13"/>
    <hyperlink ref="B6" r:id="rId14"/>
    <hyperlink ref="B7" r:id="rId15"/>
    <hyperlink ref="B9" r:id="rId16"/>
    <hyperlink ref="B10" r:id="rId17"/>
    <hyperlink ref="B11" r:id="rId18"/>
    <hyperlink ref="B12" r:id="rId19"/>
    <hyperlink ref="B8" r:id="rId20"/>
    <hyperlink ref="B46" r:id="rId21"/>
    <hyperlink ref="B29" r:id="rId22"/>
    <hyperlink ref="B30" r:id="rId23"/>
    <hyperlink ref="B31" r:id="rId24"/>
    <hyperlink ref="B32" r:id="rId25"/>
    <hyperlink ref="B33" r:id="rId26"/>
    <hyperlink ref="B34" r:id="rId27"/>
    <hyperlink ref="B35" r:id="rId28"/>
    <hyperlink ref="B37" r:id="rId29"/>
    <hyperlink ref="B38" r:id="rId30"/>
    <hyperlink ref="B36" r:id="rId31"/>
    <hyperlink ref="B42" r:id="rId32"/>
    <hyperlink ref="B43" r:id="rId33"/>
    <hyperlink ref="B44" r:id="rId34"/>
    <hyperlink ref="B45" r:id="rId35"/>
    <hyperlink ref="B47" r:id="rId36"/>
    <hyperlink ref="B48" r:id="rId37"/>
    <hyperlink ref="B49" r:id="rId38"/>
    <hyperlink ref="B50" r:id="rId39"/>
    <hyperlink ref="B51" r:id="rId40"/>
    <hyperlink ref="B55" r:id="rId41"/>
    <hyperlink ref="B56" r:id="rId42"/>
    <hyperlink ref="B57" r:id="rId43"/>
    <hyperlink ref="B58" r:id="rId44"/>
    <hyperlink ref="B59" r:id="rId45"/>
    <hyperlink ref="B60" r:id="rId46"/>
    <hyperlink ref="B61" r:id="rId47"/>
    <hyperlink ref="B62" r:id="rId48"/>
    <hyperlink ref="B63" r:id="rId49"/>
    <hyperlink ref="B64" r:id="rId50"/>
  </hyperlinks>
  <pageMargins left="0.7" right="0.7" top="0.75" bottom="0.75" header="0.3" footer="0.3"/>
  <pageSetup paperSize="9" orientation="portrait" r:id="rId5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309"/>
  <sheetViews>
    <sheetView workbookViewId="0"/>
  </sheetViews>
  <sheetFormatPr defaultColWidth="17.26953125" defaultRowHeight="14.5" x14ac:dyDescent="0.35"/>
  <sheetData>
    <row r="1" spans="1:103" ht="15" customHeight="1" thickBot="1" x14ac:dyDescent="0.4">
      <c r="A1" s="39" t="s">
        <v>635</v>
      </c>
      <c r="B1" s="40" t="s">
        <v>636</v>
      </c>
      <c r="C1" s="164" t="s">
        <v>1197</v>
      </c>
      <c r="D1" s="164" t="s">
        <v>1129</v>
      </c>
      <c r="E1" s="40" t="s">
        <v>637</v>
      </c>
      <c r="F1" s="40" t="s">
        <v>638</v>
      </c>
      <c r="G1" s="40" t="s">
        <v>639</v>
      </c>
      <c r="H1" s="40" t="s">
        <v>640</v>
      </c>
      <c r="I1" s="40" t="s">
        <v>641</v>
      </c>
      <c r="J1" s="40" t="s">
        <v>642</v>
      </c>
      <c r="K1" s="40" t="s">
        <v>643</v>
      </c>
      <c r="L1" s="40" t="s">
        <v>644</v>
      </c>
      <c r="M1" s="40" t="s">
        <v>645</v>
      </c>
      <c r="N1" s="40" t="s">
        <v>646</v>
      </c>
      <c r="O1" s="40" t="s">
        <v>647</v>
      </c>
      <c r="P1" s="41" t="s">
        <v>648</v>
      </c>
    </row>
    <row r="2" spans="1:103" ht="15" customHeight="1" x14ac:dyDescent="0.35">
      <c r="A2" s="42" t="s">
        <v>3</v>
      </c>
      <c r="B2" s="43" t="s">
        <v>2</v>
      </c>
      <c r="C2" s="165" t="s">
        <v>3</v>
      </c>
      <c r="D2" s="165"/>
      <c r="E2" s="49" t="s">
        <v>429</v>
      </c>
      <c r="F2" s="43"/>
      <c r="G2" s="50" t="str">
        <f>HYPERLINK("https://youtube.com/abdelmaleksellal","https://youtube.com/abdelmaleksellal")</f>
        <v>https://youtube.com/abdelmaleksellal</v>
      </c>
      <c r="H2" s="43"/>
      <c r="I2" s="43"/>
      <c r="J2" s="43"/>
      <c r="K2" s="43"/>
      <c r="L2" s="43"/>
      <c r="M2" s="43"/>
      <c r="N2" s="43"/>
      <c r="O2" s="43"/>
      <c r="P2" s="56"/>
      <c r="CP2" s="44"/>
      <c r="CQ2" s="44"/>
      <c r="CR2" s="44"/>
      <c r="CS2" s="44"/>
      <c r="CT2" s="44"/>
      <c r="CU2" s="44"/>
      <c r="CV2" s="44"/>
      <c r="CW2" s="44"/>
      <c r="CX2" s="44"/>
      <c r="CY2" s="44"/>
    </row>
    <row r="3" spans="1:103" ht="15" customHeight="1" x14ac:dyDescent="0.35">
      <c r="A3" s="45" t="s">
        <v>8</v>
      </c>
      <c r="B3" s="46" t="s">
        <v>2</v>
      </c>
      <c r="C3" s="74" t="s">
        <v>8</v>
      </c>
      <c r="D3" s="74"/>
      <c r="E3" s="2"/>
      <c r="F3" s="46"/>
      <c r="G3" s="46"/>
      <c r="H3" s="22" t="s">
        <v>683</v>
      </c>
      <c r="I3" s="46"/>
      <c r="J3" s="46"/>
      <c r="K3" s="46"/>
      <c r="L3" s="46"/>
      <c r="M3" s="46"/>
      <c r="N3" s="46"/>
      <c r="O3" s="46"/>
      <c r="P3" s="64"/>
      <c r="CP3" s="44"/>
      <c r="CQ3" s="44"/>
      <c r="CR3" s="44"/>
      <c r="CS3" s="44"/>
      <c r="CT3" s="44"/>
      <c r="CU3" s="44"/>
      <c r="CV3" s="44"/>
      <c r="CW3" s="44"/>
      <c r="CX3" s="44"/>
      <c r="CY3" s="44"/>
    </row>
    <row r="4" spans="1:103" ht="15" customHeight="1" x14ac:dyDescent="0.35">
      <c r="A4" s="45" t="s">
        <v>11</v>
      </c>
      <c r="B4" s="46" t="s">
        <v>2</v>
      </c>
      <c r="C4" s="74" t="s">
        <v>11</v>
      </c>
      <c r="D4" s="74"/>
      <c r="E4" s="3" t="str">
        <f>HYPERLINK("https://youtube.com/yayiboni2011","https://youtube.com/yayiboni2011")</f>
        <v>https://youtube.com/yayiboni2011</v>
      </c>
      <c r="F4" s="46"/>
      <c r="G4" s="18" t="s">
        <v>430</v>
      </c>
      <c r="H4" s="46"/>
      <c r="I4" s="46"/>
      <c r="J4" s="46"/>
      <c r="K4" s="46"/>
      <c r="L4" s="46"/>
      <c r="M4" s="46"/>
      <c r="N4" s="46"/>
      <c r="O4" s="46"/>
      <c r="P4" s="64"/>
      <c r="CP4" s="44"/>
      <c r="CQ4" s="44"/>
      <c r="CR4" s="44"/>
      <c r="CS4" s="44"/>
      <c r="CT4" s="44"/>
      <c r="CU4" s="44"/>
      <c r="CV4" s="44"/>
      <c r="CW4" s="44"/>
      <c r="CX4" s="44"/>
      <c r="CY4" s="44"/>
    </row>
    <row r="5" spans="1:103" ht="15" customHeight="1" x14ac:dyDescent="0.35">
      <c r="A5" s="45" t="s">
        <v>15</v>
      </c>
      <c r="B5" s="46" t="s">
        <v>2</v>
      </c>
      <c r="C5" s="74" t="s">
        <v>15</v>
      </c>
      <c r="D5" s="74"/>
      <c r="E5" s="46"/>
      <c r="F5" s="46"/>
      <c r="G5" s="46"/>
      <c r="H5" s="46"/>
      <c r="I5" s="46"/>
      <c r="J5" s="46"/>
      <c r="K5" s="46"/>
      <c r="L5" s="46"/>
      <c r="M5" s="46"/>
      <c r="N5" s="46"/>
      <c r="O5" s="46"/>
      <c r="P5" s="64"/>
      <c r="CP5" s="44"/>
      <c r="CQ5" s="44"/>
      <c r="CR5" s="44"/>
      <c r="CS5" s="44"/>
      <c r="CT5" s="44"/>
      <c r="CU5" s="44"/>
      <c r="CV5" s="44"/>
      <c r="CW5" s="44"/>
      <c r="CX5" s="44"/>
      <c r="CY5" s="44"/>
    </row>
    <row r="6" spans="1:103" ht="15" customHeight="1" x14ac:dyDescent="0.35">
      <c r="A6" s="45" t="s">
        <v>16</v>
      </c>
      <c r="B6" s="46" t="s">
        <v>2</v>
      </c>
      <c r="C6" s="74" t="s">
        <v>16</v>
      </c>
      <c r="D6" s="74"/>
      <c r="E6" s="18" t="s">
        <v>431</v>
      </c>
      <c r="F6" s="46"/>
      <c r="G6" s="46"/>
      <c r="H6" s="46"/>
      <c r="I6" s="46"/>
      <c r="J6" s="46"/>
      <c r="K6" s="46"/>
      <c r="L6" s="46"/>
      <c r="M6" s="46"/>
      <c r="N6" s="46"/>
      <c r="O6" s="46"/>
      <c r="P6" s="64"/>
      <c r="CP6" s="44"/>
      <c r="CQ6" s="44"/>
      <c r="CR6" s="44"/>
      <c r="CS6" s="44"/>
      <c r="CT6" s="44"/>
      <c r="CU6" s="44"/>
      <c r="CV6" s="44"/>
      <c r="CW6" s="44"/>
      <c r="CX6" s="44"/>
      <c r="CY6" s="44"/>
    </row>
    <row r="7" spans="1:103" ht="15" customHeight="1" x14ac:dyDescent="0.35">
      <c r="A7" s="45" t="s">
        <v>17</v>
      </c>
      <c r="B7" s="46" t="s">
        <v>2</v>
      </c>
      <c r="C7" s="74" t="s">
        <v>17</v>
      </c>
      <c r="D7" s="74"/>
      <c r="E7" s="7" t="s">
        <v>432</v>
      </c>
      <c r="F7" s="46"/>
      <c r="G7" s="46"/>
      <c r="H7" s="46"/>
      <c r="I7" s="46"/>
      <c r="J7" s="46"/>
      <c r="K7" s="46"/>
      <c r="L7" s="46"/>
      <c r="M7" s="46"/>
      <c r="N7" s="46"/>
      <c r="O7" s="46"/>
      <c r="P7" s="64"/>
      <c r="CP7" s="44"/>
      <c r="CQ7" s="44"/>
      <c r="CR7" s="44"/>
      <c r="CS7" s="44"/>
      <c r="CT7" s="44"/>
      <c r="CU7" s="44"/>
      <c r="CV7" s="44"/>
      <c r="CW7" s="44"/>
      <c r="CX7" s="44"/>
      <c r="CY7" s="44"/>
    </row>
    <row r="8" spans="1:103" ht="15" customHeight="1" x14ac:dyDescent="0.35">
      <c r="A8" s="45" t="s">
        <v>18</v>
      </c>
      <c r="B8" s="46" t="s">
        <v>2</v>
      </c>
      <c r="C8" s="74" t="s">
        <v>18</v>
      </c>
      <c r="D8" s="74"/>
      <c r="E8" s="46"/>
      <c r="F8" s="22" t="s">
        <v>681</v>
      </c>
      <c r="G8" s="46"/>
      <c r="H8" s="46"/>
      <c r="I8" s="46"/>
      <c r="J8" s="46"/>
      <c r="K8" s="46"/>
      <c r="L8" s="46"/>
      <c r="M8" s="46"/>
      <c r="N8" s="46"/>
      <c r="O8" s="46"/>
      <c r="P8" s="64"/>
      <c r="CP8" s="44"/>
      <c r="CQ8" s="44"/>
      <c r="CR8" s="44"/>
      <c r="CS8" s="44"/>
      <c r="CT8" s="44"/>
      <c r="CU8" s="44"/>
      <c r="CV8" s="44"/>
      <c r="CW8" s="44"/>
      <c r="CX8" s="44"/>
      <c r="CY8" s="44"/>
    </row>
    <row r="9" spans="1:103" ht="15" customHeight="1" x14ac:dyDescent="0.35">
      <c r="A9" s="45" t="s">
        <v>19</v>
      </c>
      <c r="B9" s="46" t="s">
        <v>2</v>
      </c>
      <c r="C9" s="74" t="s">
        <v>685</v>
      </c>
      <c r="D9" s="74"/>
      <c r="E9" s="46"/>
      <c r="F9" s="46"/>
      <c r="G9" s="46"/>
      <c r="H9" s="46" t="s">
        <v>684</v>
      </c>
      <c r="I9" s="46"/>
      <c r="J9" s="46"/>
      <c r="K9" s="46"/>
      <c r="L9" s="46"/>
      <c r="M9" s="46"/>
      <c r="N9" s="46"/>
      <c r="O9" s="46"/>
      <c r="P9" s="64"/>
      <c r="CP9" s="44"/>
      <c r="CQ9" s="44"/>
      <c r="CR9" s="44"/>
      <c r="CS9" s="44"/>
      <c r="CT9" s="44"/>
      <c r="CU9" s="44"/>
      <c r="CV9" s="44"/>
      <c r="CW9" s="44"/>
      <c r="CX9" s="44"/>
      <c r="CY9" s="44"/>
    </row>
    <row r="10" spans="1:103" ht="15" customHeight="1" x14ac:dyDescent="0.35">
      <c r="A10" s="45" t="s">
        <v>651</v>
      </c>
      <c r="B10" s="46" t="s">
        <v>2</v>
      </c>
      <c r="C10" s="74" t="s">
        <v>651</v>
      </c>
      <c r="D10" s="74"/>
      <c r="E10" s="46"/>
      <c r="F10" s="46"/>
      <c r="G10" s="46"/>
      <c r="H10" s="46" t="s">
        <v>686</v>
      </c>
      <c r="I10" s="46"/>
      <c r="J10" s="46"/>
      <c r="K10" s="46"/>
      <c r="L10" s="46"/>
      <c r="M10" s="46"/>
      <c r="N10" s="46"/>
      <c r="O10" s="46"/>
      <c r="P10" s="64"/>
      <c r="CP10" s="44"/>
      <c r="CQ10" s="44"/>
      <c r="CR10" s="44"/>
      <c r="CS10" s="44"/>
      <c r="CT10" s="44"/>
      <c r="CU10" s="44"/>
      <c r="CV10" s="44"/>
      <c r="CW10" s="44"/>
      <c r="CX10" s="44"/>
      <c r="CY10" s="44"/>
    </row>
    <row r="11" spans="1:103" ht="15" customHeight="1" x14ac:dyDescent="0.35">
      <c r="A11" s="45" t="s">
        <v>649</v>
      </c>
      <c r="B11" s="46" t="s">
        <v>2</v>
      </c>
      <c r="C11" s="74" t="s">
        <v>649</v>
      </c>
      <c r="D11" s="74"/>
      <c r="E11" s="4"/>
      <c r="F11" s="18" t="s">
        <v>433</v>
      </c>
      <c r="G11" s="46"/>
      <c r="H11" s="7" t="s">
        <v>24</v>
      </c>
      <c r="I11" s="46"/>
      <c r="J11" s="46"/>
      <c r="K11" s="46"/>
      <c r="L11" s="46"/>
      <c r="M11" s="46"/>
      <c r="N11" s="46"/>
      <c r="O11" s="46"/>
      <c r="P11" s="64"/>
      <c r="CP11" s="44"/>
      <c r="CQ11" s="44"/>
      <c r="CR11" s="44"/>
      <c r="CS11" s="44"/>
      <c r="CT11" s="44"/>
      <c r="CU11" s="44"/>
      <c r="CV11" s="44"/>
      <c r="CW11" s="44"/>
      <c r="CX11" s="44"/>
      <c r="CY11" s="44"/>
    </row>
    <row r="12" spans="1:103" ht="15" customHeight="1" x14ac:dyDescent="0.35">
      <c r="A12" s="45" t="s">
        <v>26</v>
      </c>
      <c r="B12" s="46" t="s">
        <v>2</v>
      </c>
      <c r="C12" s="74" t="s">
        <v>26</v>
      </c>
      <c r="D12" s="74"/>
      <c r="E12" s="7" t="s">
        <v>27</v>
      </c>
      <c r="F12" s="46"/>
      <c r="G12" s="46"/>
      <c r="H12" s="7" t="s">
        <v>28</v>
      </c>
      <c r="I12" s="46"/>
      <c r="J12" s="46"/>
      <c r="K12" s="46"/>
      <c r="L12" s="46"/>
      <c r="M12" s="46"/>
      <c r="N12" s="46"/>
      <c r="O12" s="46"/>
      <c r="P12" s="64"/>
      <c r="CP12" s="44"/>
      <c r="CQ12" s="44"/>
      <c r="CR12" s="44"/>
      <c r="CS12" s="44"/>
      <c r="CT12" s="44"/>
      <c r="CU12" s="44"/>
      <c r="CV12" s="44"/>
      <c r="CW12" s="44"/>
      <c r="CX12" s="44"/>
      <c r="CY12" s="44"/>
    </row>
    <row r="13" spans="1:103" ht="15" customHeight="1" x14ac:dyDescent="0.35">
      <c r="A13" s="45" t="s">
        <v>30</v>
      </c>
      <c r="B13" s="46" t="s">
        <v>2</v>
      </c>
      <c r="C13" s="74" t="s">
        <v>30</v>
      </c>
      <c r="D13" s="74"/>
      <c r="E13" s="5"/>
      <c r="F13" s="46"/>
      <c r="G13" s="46"/>
      <c r="H13" s="46"/>
      <c r="I13" s="46"/>
      <c r="J13" s="7" t="s">
        <v>31</v>
      </c>
      <c r="K13" s="46"/>
      <c r="L13" s="46"/>
      <c r="M13" s="46"/>
      <c r="N13" s="46"/>
      <c r="O13" s="46"/>
      <c r="P13" s="64"/>
      <c r="CP13" s="44"/>
      <c r="CQ13" s="44"/>
      <c r="CR13" s="44"/>
      <c r="CS13" s="44"/>
      <c r="CT13" s="44"/>
      <c r="CU13" s="44"/>
      <c r="CV13" s="44"/>
      <c r="CW13" s="44"/>
      <c r="CX13" s="44"/>
      <c r="CY13" s="44"/>
    </row>
    <row r="14" spans="1:103" ht="15" customHeight="1" x14ac:dyDescent="0.35">
      <c r="A14" s="45" t="s">
        <v>32</v>
      </c>
      <c r="B14" s="46" t="s">
        <v>2</v>
      </c>
      <c r="C14" s="74" t="s">
        <v>32</v>
      </c>
      <c r="D14" s="74"/>
      <c r="E14" s="2" t="s">
        <v>688</v>
      </c>
      <c r="F14" s="46" t="s">
        <v>689</v>
      </c>
      <c r="G14" s="46"/>
      <c r="H14" s="46" t="s">
        <v>690</v>
      </c>
      <c r="I14" s="46"/>
      <c r="J14" s="46"/>
      <c r="K14" s="46"/>
      <c r="L14" s="46"/>
      <c r="M14" s="46"/>
      <c r="N14" s="46"/>
      <c r="O14" s="46"/>
      <c r="P14" s="64"/>
      <c r="CP14" s="44"/>
      <c r="CQ14" s="44"/>
      <c r="CR14" s="44"/>
      <c r="CS14" s="44"/>
      <c r="CT14" s="44"/>
      <c r="CU14" s="44"/>
      <c r="CV14" s="44"/>
      <c r="CW14" s="44"/>
      <c r="CX14" s="44"/>
      <c r="CY14" s="44"/>
    </row>
    <row r="15" spans="1:103" ht="15" customHeight="1" x14ac:dyDescent="0.35">
      <c r="A15" s="45" t="s">
        <v>33</v>
      </c>
      <c r="B15" s="46" t="s">
        <v>2</v>
      </c>
      <c r="C15" s="74" t="s">
        <v>33</v>
      </c>
      <c r="D15" s="74"/>
      <c r="E15" s="46"/>
      <c r="F15" s="46" t="s">
        <v>687</v>
      </c>
      <c r="G15" s="46"/>
      <c r="H15" s="46"/>
      <c r="I15" s="46"/>
      <c r="J15" s="46"/>
      <c r="K15" s="46"/>
      <c r="L15" s="46"/>
      <c r="M15" s="46"/>
      <c r="N15" s="46"/>
      <c r="O15" s="46"/>
      <c r="P15" s="64"/>
      <c r="CP15" s="44"/>
      <c r="CQ15" s="44"/>
      <c r="CR15" s="44"/>
      <c r="CS15" s="44"/>
      <c r="CT15" s="44"/>
      <c r="CU15" s="44"/>
      <c r="CV15" s="44"/>
      <c r="CW15" s="44"/>
      <c r="CX15" s="44"/>
      <c r="CY15" s="44"/>
    </row>
    <row r="16" spans="1:103" ht="15" customHeight="1" x14ac:dyDescent="0.35">
      <c r="A16" s="45" t="s">
        <v>34</v>
      </c>
      <c r="B16" s="46" t="s">
        <v>2</v>
      </c>
      <c r="C16" s="74" t="s">
        <v>34</v>
      </c>
      <c r="D16" s="74"/>
      <c r="E16" s="7" t="s">
        <v>35</v>
      </c>
      <c r="F16" s="3" t="str">
        <f>HYPERLINK("https://youtube.com/flagstaffhouse","https://youtube.com/flagstaffhouse")</f>
        <v>https://youtube.com/flagstaffhouse</v>
      </c>
      <c r="G16" s="46"/>
      <c r="H16" s="46"/>
      <c r="I16" s="46"/>
      <c r="J16" s="46"/>
      <c r="K16" s="18" t="s">
        <v>434</v>
      </c>
      <c r="L16" s="46"/>
      <c r="M16" s="46"/>
      <c r="N16" s="46"/>
      <c r="O16" s="46"/>
      <c r="P16" s="64"/>
      <c r="CP16" s="44"/>
      <c r="CQ16" s="44"/>
      <c r="CR16" s="44"/>
      <c r="CS16" s="44"/>
      <c r="CT16" s="44"/>
      <c r="CU16" s="44"/>
      <c r="CV16" s="44"/>
      <c r="CW16" s="44"/>
      <c r="CX16" s="44"/>
      <c r="CY16" s="44"/>
    </row>
    <row r="17" spans="1:103" ht="15" customHeight="1" x14ac:dyDescent="0.35">
      <c r="A17" s="45" t="s">
        <v>36</v>
      </c>
      <c r="B17" s="46" t="s">
        <v>2</v>
      </c>
      <c r="C17" s="74" t="s">
        <v>36</v>
      </c>
      <c r="D17" s="74"/>
      <c r="F17" s="3" t="str">
        <f>HYPERLINK("https://youtube.com/channel/UCVqArgjwmnTAyMgZ-xm6Lcw","https://youtube.com/channel/UCVqArgjwmnTAyMgZ-xm6Lcw")</f>
        <v>https://youtube.com/channel/UCVqArgjwmnTAyMgZ-xm6Lcw</v>
      </c>
      <c r="G17" s="46"/>
      <c r="H17" s="2" t="s">
        <v>435</v>
      </c>
      <c r="I17" s="46"/>
      <c r="J17" s="46"/>
      <c r="K17" s="46"/>
      <c r="L17" s="46"/>
      <c r="M17" s="46"/>
      <c r="N17" s="46"/>
      <c r="O17" s="46"/>
      <c r="P17" s="64"/>
      <c r="CP17" s="44"/>
      <c r="CQ17" s="44"/>
      <c r="CR17" s="44"/>
      <c r="CS17" s="44"/>
      <c r="CT17" s="44"/>
      <c r="CU17" s="44"/>
      <c r="CV17" s="44"/>
      <c r="CW17" s="44"/>
      <c r="CX17" s="44"/>
      <c r="CY17" s="44"/>
    </row>
    <row r="18" spans="1:103" ht="15" customHeight="1" x14ac:dyDescent="0.35">
      <c r="A18" s="45" t="s">
        <v>38</v>
      </c>
      <c r="B18" s="46" t="s">
        <v>2</v>
      </c>
      <c r="C18" s="74" t="s">
        <v>38</v>
      </c>
      <c r="D18" s="74"/>
      <c r="E18" s="18" t="s">
        <v>436</v>
      </c>
      <c r="F18" s="7" t="s">
        <v>39</v>
      </c>
      <c r="G18" s="46"/>
      <c r="H18" s="3" t="str">
        <f>HYPERLINK("https://youtube.com/gouvcivideo","https://youtube.com/gouvcivideo")</f>
        <v>https://youtube.com/gouvcivideo</v>
      </c>
      <c r="I18" s="46"/>
      <c r="J18" s="46"/>
      <c r="K18" s="46"/>
      <c r="L18" s="46"/>
      <c r="M18" s="46"/>
      <c r="N18" s="46"/>
      <c r="O18" s="46"/>
      <c r="P18" s="64"/>
      <c r="CP18" s="44"/>
      <c r="CQ18" s="44"/>
      <c r="CR18" s="44"/>
      <c r="CS18" s="44"/>
      <c r="CT18" s="44"/>
      <c r="CU18" s="44"/>
      <c r="CV18" s="44"/>
      <c r="CW18" s="44"/>
      <c r="CX18" s="44"/>
      <c r="CY18" s="44"/>
    </row>
    <row r="19" spans="1:103" ht="15" customHeight="1" x14ac:dyDescent="0.35">
      <c r="A19" s="45" t="s">
        <v>40</v>
      </c>
      <c r="B19" s="46" t="s">
        <v>2</v>
      </c>
      <c r="C19" s="74" t="s">
        <v>40</v>
      </c>
      <c r="D19" s="74"/>
      <c r="E19" s="3" t="str">
        <f>HYPERLINK("https://youtube.com/UhuruKenyattaTV","https://youtube.com/UhuruKenyattaTV")</f>
        <v>https://youtube.com/UhuruKenyattaTV</v>
      </c>
      <c r="F19" s="46"/>
      <c r="G19" s="46"/>
      <c r="H19" s="46"/>
      <c r="I19" s="46"/>
      <c r="J19" s="46"/>
      <c r="K19" s="46"/>
      <c r="L19" s="46"/>
      <c r="M19" s="46"/>
      <c r="N19" s="46"/>
      <c r="O19" s="46"/>
      <c r="P19" s="64"/>
      <c r="CP19" s="44"/>
      <c r="CQ19" s="44"/>
      <c r="CR19" s="44"/>
      <c r="CS19" s="44"/>
      <c r="CT19" s="44"/>
      <c r="CU19" s="44"/>
      <c r="CV19" s="44"/>
      <c r="CW19" s="44"/>
      <c r="CX19" s="44"/>
      <c r="CY19" s="44"/>
    </row>
    <row r="20" spans="1:103" ht="15" customHeight="1" x14ac:dyDescent="0.35">
      <c r="A20" s="45" t="s">
        <v>43</v>
      </c>
      <c r="B20" s="46" t="s">
        <v>2</v>
      </c>
      <c r="C20" s="74" t="s">
        <v>43</v>
      </c>
      <c r="D20" s="74"/>
      <c r="E20" s="46"/>
      <c r="F20" s="46"/>
      <c r="G20" s="46"/>
      <c r="H20" s="46" t="s">
        <v>691</v>
      </c>
      <c r="I20" s="46"/>
      <c r="J20" s="46"/>
      <c r="K20" s="46"/>
      <c r="L20" s="46"/>
      <c r="M20" s="46"/>
      <c r="N20" s="46"/>
      <c r="O20" s="46"/>
      <c r="P20" s="64"/>
      <c r="CP20" s="44"/>
      <c r="CQ20" s="44"/>
      <c r="CR20" s="44"/>
      <c r="CS20" s="44"/>
      <c r="CT20" s="44"/>
      <c r="CU20" s="44"/>
      <c r="CV20" s="44"/>
      <c r="CW20" s="44"/>
      <c r="CX20" s="44"/>
      <c r="CY20" s="44"/>
    </row>
    <row r="21" spans="1:103" ht="15" customHeight="1" x14ac:dyDescent="0.35">
      <c r="A21" s="45" t="s">
        <v>44</v>
      </c>
      <c r="B21" s="46" t="s">
        <v>2</v>
      </c>
      <c r="C21" s="74" t="s">
        <v>44</v>
      </c>
      <c r="D21" s="74"/>
      <c r="E21" s="46" t="s">
        <v>692</v>
      </c>
      <c r="F21" s="46" t="s">
        <v>693</v>
      </c>
      <c r="G21" s="46"/>
      <c r="H21" s="46"/>
      <c r="I21" s="46"/>
      <c r="J21" s="46"/>
      <c r="K21" s="46"/>
      <c r="L21" s="46"/>
      <c r="M21" s="46"/>
      <c r="N21" s="46"/>
      <c r="O21" s="46"/>
      <c r="P21" s="64"/>
      <c r="CP21" s="44"/>
      <c r="CQ21" s="44"/>
      <c r="CR21" s="44"/>
      <c r="CS21" s="44"/>
      <c r="CT21" s="44"/>
      <c r="CU21" s="44"/>
      <c r="CV21" s="44"/>
      <c r="CW21" s="44"/>
      <c r="CX21" s="44"/>
      <c r="CY21" s="44"/>
    </row>
    <row r="22" spans="1:103" ht="15" customHeight="1" x14ac:dyDescent="0.35">
      <c r="A22" s="45" t="s">
        <v>45</v>
      </c>
      <c r="B22" s="46" t="s">
        <v>2</v>
      </c>
      <c r="C22" s="74" t="s">
        <v>45</v>
      </c>
      <c r="D22" s="74"/>
      <c r="E22" s="2" t="s">
        <v>437</v>
      </c>
      <c r="F22" s="46"/>
      <c r="G22" s="46"/>
      <c r="H22" s="46"/>
      <c r="I22" s="46"/>
      <c r="J22" s="46"/>
      <c r="K22" s="46"/>
      <c r="L22" s="46"/>
      <c r="M22" s="46"/>
      <c r="N22" s="46"/>
      <c r="O22" s="46"/>
      <c r="P22" s="64"/>
      <c r="CP22" s="44"/>
      <c r="CQ22" s="44"/>
      <c r="CR22" s="44"/>
      <c r="CS22" s="44"/>
      <c r="CT22" s="44"/>
      <c r="CU22" s="44"/>
      <c r="CV22" s="44"/>
      <c r="CW22" s="44"/>
      <c r="CX22" s="44"/>
      <c r="CY22" s="44"/>
    </row>
    <row r="23" spans="1:103" ht="15" customHeight="1" x14ac:dyDescent="0.35">
      <c r="A23" s="45" t="s">
        <v>46</v>
      </c>
      <c r="B23" s="46" t="s">
        <v>2</v>
      </c>
      <c r="C23" s="74" t="s">
        <v>46</v>
      </c>
      <c r="D23" s="74"/>
      <c r="E23" s="46"/>
      <c r="F23" s="46"/>
      <c r="G23" s="46"/>
      <c r="H23" s="46" t="s">
        <v>694</v>
      </c>
      <c r="I23" s="46"/>
      <c r="J23" s="46"/>
      <c r="K23" s="46"/>
      <c r="L23" s="46"/>
      <c r="M23" s="46"/>
      <c r="N23" s="46"/>
      <c r="O23" s="46"/>
      <c r="P23" s="64"/>
      <c r="CP23" s="44"/>
      <c r="CQ23" s="44"/>
      <c r="CR23" s="44"/>
      <c r="CS23" s="44"/>
      <c r="CT23" s="44"/>
      <c r="CU23" s="44"/>
      <c r="CV23" s="44"/>
      <c r="CW23" s="44"/>
      <c r="CX23" s="44"/>
      <c r="CY23" s="44"/>
    </row>
    <row r="24" spans="1:103" ht="15" customHeight="1" x14ac:dyDescent="0.35">
      <c r="A24" s="45" t="s">
        <v>48</v>
      </c>
      <c r="B24" s="46" t="s">
        <v>2</v>
      </c>
      <c r="C24" s="74" t="s">
        <v>650</v>
      </c>
      <c r="D24" s="74"/>
      <c r="E24" s="46"/>
      <c r="F24" s="46"/>
      <c r="G24" s="46"/>
      <c r="H24" s="3" t="str">
        <f>HYPERLINK("https://youtube.com/chefdugouvernement","https://youtube.com/chefdugouvernement")</f>
        <v>https://youtube.com/chefdugouvernement</v>
      </c>
      <c r="I24" s="46"/>
      <c r="J24" s="46"/>
      <c r="K24" s="46"/>
      <c r="L24" s="46"/>
      <c r="M24" s="46"/>
      <c r="N24" s="46"/>
      <c r="O24" s="46"/>
      <c r="P24" s="64"/>
      <c r="CP24" s="44"/>
      <c r="CQ24" s="44"/>
      <c r="CR24" s="44"/>
      <c r="CS24" s="44"/>
      <c r="CT24" s="44"/>
      <c r="CU24" s="44"/>
      <c r="CV24" s="44"/>
      <c r="CW24" s="44"/>
      <c r="CX24" s="44"/>
      <c r="CY24" s="44"/>
    </row>
    <row r="25" spans="1:103" ht="15" customHeight="1" x14ac:dyDescent="0.35">
      <c r="A25" s="45" t="s">
        <v>50</v>
      </c>
      <c r="B25" s="46" t="s">
        <v>2</v>
      </c>
      <c r="C25" s="74" t="s">
        <v>50</v>
      </c>
      <c r="D25" s="74"/>
      <c r="E25" s="46" t="s">
        <v>697</v>
      </c>
      <c r="F25" s="46"/>
      <c r="G25" s="46"/>
      <c r="H25" s="46"/>
      <c r="I25" s="46"/>
      <c r="J25" s="46"/>
      <c r="K25" s="46"/>
      <c r="L25" s="46"/>
      <c r="M25" s="46"/>
      <c r="N25" s="46"/>
      <c r="O25" s="46"/>
      <c r="P25" s="64"/>
      <c r="CP25" s="44"/>
      <c r="CQ25" s="44"/>
      <c r="CR25" s="44"/>
      <c r="CS25" s="44"/>
      <c r="CT25" s="44"/>
      <c r="CU25" s="44"/>
      <c r="CV25" s="44"/>
      <c r="CW25" s="44"/>
      <c r="CX25" s="44"/>
      <c r="CY25" s="44"/>
    </row>
    <row r="26" spans="1:103" ht="15" customHeight="1" x14ac:dyDescent="0.35">
      <c r="A26" s="45" t="s">
        <v>51</v>
      </c>
      <c r="B26" s="46" t="s">
        <v>2</v>
      </c>
      <c r="C26" s="74" t="s">
        <v>51</v>
      </c>
      <c r="D26" s="74"/>
      <c r="E26" s="46"/>
      <c r="F26" s="3" t="str">
        <f>HYPERLINK("https://youtube.com/presidenceniger","https://youtube.com/presidenceniger")</f>
        <v>https://youtube.com/presidenceniger</v>
      </c>
      <c r="G26" s="46"/>
      <c r="H26" s="46"/>
      <c r="I26" s="46"/>
      <c r="J26" s="46"/>
      <c r="K26" s="46"/>
      <c r="L26" s="46"/>
      <c r="M26" s="46"/>
      <c r="N26" s="46"/>
      <c r="O26" s="46"/>
      <c r="P26" s="64"/>
      <c r="CP26" s="44"/>
      <c r="CQ26" s="44"/>
      <c r="CR26" s="44"/>
      <c r="CS26" s="44"/>
      <c r="CT26" s="44"/>
      <c r="CU26" s="44"/>
      <c r="CV26" s="44"/>
      <c r="CW26" s="44"/>
      <c r="CX26" s="44"/>
      <c r="CY26" s="44"/>
    </row>
    <row r="27" spans="1:103" ht="15" customHeight="1" x14ac:dyDescent="0.35">
      <c r="A27" s="45" t="s">
        <v>52</v>
      </c>
      <c r="B27" s="46" t="s">
        <v>2</v>
      </c>
      <c r="C27" s="74" t="s">
        <v>52</v>
      </c>
      <c r="D27" s="74"/>
      <c r="E27" s="46" t="s">
        <v>698</v>
      </c>
      <c r="F27" s="46"/>
      <c r="G27" s="46"/>
      <c r="H27" s="46"/>
      <c r="I27" s="46"/>
      <c r="J27" s="46"/>
      <c r="K27" s="46"/>
      <c r="L27" s="46"/>
      <c r="M27" s="46"/>
      <c r="N27" s="46"/>
      <c r="O27" s="46"/>
      <c r="P27" s="64"/>
      <c r="CP27" s="44"/>
      <c r="CQ27" s="44"/>
      <c r="CR27" s="44"/>
      <c r="CS27" s="44"/>
      <c r="CT27" s="44"/>
      <c r="CU27" s="44"/>
      <c r="CV27" s="44"/>
      <c r="CW27" s="44"/>
      <c r="CX27" s="44"/>
      <c r="CY27" s="44"/>
    </row>
    <row r="28" spans="1:103" ht="15" customHeight="1" x14ac:dyDescent="0.35">
      <c r="A28" s="45" t="s">
        <v>53</v>
      </c>
      <c r="B28" s="46" t="s">
        <v>2</v>
      </c>
      <c r="C28" s="74" t="s">
        <v>53</v>
      </c>
      <c r="D28" s="74"/>
      <c r="E28" s="3" t="str">
        <f>HYPERLINK("https://youtube.com/presidentkagame","https://youtube.com/presidentkagame")</f>
        <v>https://youtube.com/presidentkagame</v>
      </c>
      <c r="F28" s="46"/>
      <c r="G28" s="46"/>
      <c r="H28" s="3" t="str">
        <f>HYPERLINK("https://youtube.com/RwandaGov","https://youtube.com/RwandaGov")</f>
        <v>https://youtube.com/RwandaGov</v>
      </c>
      <c r="I28" s="46"/>
      <c r="J28" s="46"/>
      <c r="K28" s="46"/>
      <c r="L28" s="46"/>
      <c r="M28" s="46"/>
      <c r="N28" s="3" t="str">
        <f>HYPERLINK("https://youtube.com/PrimatureRwanda","https://youtube.com/PrimatureRwanda")</f>
        <v>https://youtube.com/PrimatureRwanda</v>
      </c>
      <c r="O28" s="46"/>
      <c r="P28" s="64"/>
      <c r="CP28" s="44"/>
      <c r="CQ28" s="44"/>
      <c r="CR28" s="44"/>
      <c r="CS28" s="44"/>
      <c r="CT28" s="44"/>
      <c r="CU28" s="44"/>
      <c r="CV28" s="44"/>
      <c r="CW28" s="44"/>
      <c r="CX28" s="44"/>
      <c r="CY28" s="44"/>
    </row>
    <row r="29" spans="1:103" ht="15" customHeight="1" x14ac:dyDescent="0.35">
      <c r="A29" s="45" t="s">
        <v>56</v>
      </c>
      <c r="B29" s="46" t="s">
        <v>2</v>
      </c>
      <c r="C29" s="130" t="s">
        <v>56</v>
      </c>
      <c r="D29" s="74"/>
      <c r="E29" s="168"/>
      <c r="F29" s="3" t="str">
        <f>HYPERLINK("https://youtube.com/presidencesenegal","https://youtube.com/presidencesenegal")</f>
        <v>https://youtube.com/presidencesenegal</v>
      </c>
      <c r="G29" s="47"/>
      <c r="H29" s="46"/>
      <c r="I29" s="46"/>
      <c r="J29" s="46"/>
      <c r="K29" s="46"/>
      <c r="L29" s="46"/>
      <c r="M29" s="46"/>
      <c r="N29" s="46"/>
      <c r="O29" s="46"/>
      <c r="P29" s="64"/>
      <c r="CP29" s="44"/>
      <c r="CQ29" s="44"/>
      <c r="CR29" s="44"/>
      <c r="CS29" s="44"/>
      <c r="CT29" s="44"/>
      <c r="CU29" s="44"/>
      <c r="CV29" s="44"/>
      <c r="CW29" s="44"/>
      <c r="CX29" s="44"/>
      <c r="CY29" s="44"/>
    </row>
    <row r="30" spans="1:103" ht="15" customHeight="1" x14ac:dyDescent="0.35">
      <c r="A30" s="45" t="s">
        <v>57</v>
      </c>
      <c r="B30" s="46" t="s">
        <v>2</v>
      </c>
      <c r="C30" s="74" t="s">
        <v>57</v>
      </c>
      <c r="D30" s="74"/>
      <c r="E30" s="46"/>
      <c r="F30" s="3" t="str">
        <f>HYPERLINK("https://youtube.com/channel/UCyzZBEcM7_knHfLt2YE2dhg","https://youtube.com/channel/UCyzZBEcM7_knHfLt2YE2dhg")</f>
        <v>https://youtube.com/channel/UCyzZBEcM7_knHfLt2YE2dhg</v>
      </c>
      <c r="G30" s="46"/>
      <c r="H30" s="46"/>
      <c r="I30" s="46"/>
      <c r="J30" s="46"/>
      <c r="K30" s="46"/>
      <c r="L30" s="46"/>
      <c r="M30" s="46"/>
      <c r="N30" s="46"/>
      <c r="O30" s="46"/>
      <c r="P30" s="64"/>
      <c r="CP30" s="44"/>
      <c r="CQ30" s="44"/>
      <c r="CR30" s="44"/>
      <c r="CS30" s="44"/>
      <c r="CT30" s="44"/>
      <c r="CU30" s="44"/>
      <c r="CV30" s="44"/>
      <c r="CW30" s="44"/>
      <c r="CX30" s="44"/>
      <c r="CY30" s="44"/>
    </row>
    <row r="31" spans="1:103" ht="15" customHeight="1" x14ac:dyDescent="0.35">
      <c r="A31" s="45" t="s">
        <v>58</v>
      </c>
      <c r="B31" s="46" t="s">
        <v>2</v>
      </c>
      <c r="C31" s="74" t="s">
        <v>58</v>
      </c>
      <c r="D31" s="74"/>
      <c r="E31" s="3" t="str">
        <f>HYPERLINK("https://youtube.com/channel/UCjxjky1VIZISVAgUxH302kw","https://youtube.com/channel/UCjxjky1VIZISVAgUxH302kw")</f>
        <v>https://youtube.com/channel/UCjxjky1VIZISVAgUxH302kw</v>
      </c>
      <c r="F31" s="46"/>
      <c r="G31" s="46"/>
      <c r="H31" s="46"/>
      <c r="I31" s="46"/>
      <c r="J31" s="46"/>
      <c r="K31" s="46"/>
      <c r="L31" s="46"/>
      <c r="M31" s="46"/>
      <c r="N31" s="46"/>
      <c r="O31" s="46"/>
      <c r="P31" s="64"/>
      <c r="CP31" s="44"/>
      <c r="CQ31" s="44"/>
      <c r="CR31" s="44"/>
      <c r="CS31" s="44"/>
      <c r="CT31" s="44"/>
      <c r="CU31" s="44"/>
      <c r="CV31" s="44"/>
      <c r="CW31" s="44"/>
      <c r="CX31" s="44"/>
      <c r="CY31" s="44"/>
    </row>
    <row r="32" spans="1:103" ht="15" customHeight="1" x14ac:dyDescent="0.35">
      <c r="A32" s="45" t="s">
        <v>60</v>
      </c>
      <c r="B32" s="46" t="s">
        <v>2</v>
      </c>
      <c r="C32" s="74" t="s">
        <v>60</v>
      </c>
      <c r="D32" s="74"/>
      <c r="E32" s="46"/>
      <c r="F32" s="10" t="str">
        <f>HYPERLINK("https://youtube.com/PresidencyZA","https://youtube.com/PresidencyZA")</f>
        <v>https://youtube.com/PresidencyZA</v>
      </c>
      <c r="G32" s="46"/>
      <c r="H32" s="8" t="s">
        <v>62</v>
      </c>
      <c r="I32" s="46"/>
      <c r="J32" s="4" t="s">
        <v>438</v>
      </c>
      <c r="K32" s="46"/>
      <c r="L32" s="46"/>
      <c r="M32" s="46"/>
      <c r="N32" s="46"/>
      <c r="O32" s="46"/>
      <c r="P32" s="64"/>
      <c r="CP32" s="44"/>
      <c r="CQ32" s="44"/>
      <c r="CR32" s="44"/>
      <c r="CS32" s="44"/>
      <c r="CT32" s="44"/>
      <c r="CU32" s="44"/>
      <c r="CV32" s="44"/>
      <c r="CW32" s="44"/>
      <c r="CX32" s="44"/>
      <c r="CY32" s="44"/>
    </row>
    <row r="33" spans="1:103" ht="15" customHeight="1" x14ac:dyDescent="0.35">
      <c r="A33" s="45" t="s">
        <v>65</v>
      </c>
      <c r="B33" s="46" t="s">
        <v>2</v>
      </c>
      <c r="C33" s="74" t="s">
        <v>65</v>
      </c>
      <c r="D33" s="74"/>
      <c r="E33" s="46"/>
      <c r="F33" s="46" t="s">
        <v>699</v>
      </c>
      <c r="G33" s="46"/>
      <c r="H33" s="46"/>
      <c r="I33" s="46"/>
      <c r="J33" s="46"/>
      <c r="K33" s="46"/>
      <c r="L33" s="46"/>
      <c r="M33" s="46"/>
      <c r="N33" s="46"/>
      <c r="O33" s="46"/>
      <c r="P33" s="64"/>
      <c r="CP33" s="44"/>
      <c r="CQ33" s="44"/>
      <c r="CR33" s="44"/>
      <c r="CS33" s="44"/>
      <c r="CT33" s="44"/>
      <c r="CU33" s="44"/>
      <c r="CV33" s="44"/>
      <c r="CW33" s="44"/>
      <c r="CX33" s="44"/>
      <c r="CY33" s="44"/>
    </row>
    <row r="34" spans="1:103" ht="15" customHeight="1" x14ac:dyDescent="0.35">
      <c r="A34" s="45" t="s">
        <v>66</v>
      </c>
      <c r="B34" s="46" t="s">
        <v>2</v>
      </c>
      <c r="C34" s="74" t="s">
        <v>66</v>
      </c>
      <c r="D34" s="74"/>
      <c r="E34" s="46"/>
      <c r="F34" s="46"/>
      <c r="G34" s="46"/>
      <c r="H34" s="8" t="s">
        <v>67</v>
      </c>
      <c r="I34" s="46"/>
      <c r="J34" s="46"/>
      <c r="K34" s="46"/>
      <c r="L34" s="46"/>
      <c r="M34" s="46"/>
      <c r="N34" s="46"/>
      <c r="O34" s="46"/>
      <c r="P34" s="64"/>
      <c r="CP34" s="44"/>
      <c r="CQ34" s="44"/>
      <c r="CR34" s="44"/>
      <c r="CS34" s="44"/>
      <c r="CT34" s="44"/>
      <c r="CU34" s="44"/>
      <c r="CV34" s="44"/>
      <c r="CW34" s="44"/>
      <c r="CX34" s="44"/>
      <c r="CY34" s="44"/>
    </row>
    <row r="35" spans="1:103" ht="15" customHeight="1" x14ac:dyDescent="0.35">
      <c r="A35" s="45" t="s">
        <v>68</v>
      </c>
      <c r="B35" s="46" t="s">
        <v>2</v>
      </c>
      <c r="C35" s="74" t="s">
        <v>68</v>
      </c>
      <c r="D35" s="74"/>
      <c r="E35" s="8" t="s">
        <v>69</v>
      </c>
      <c r="F35" s="3" t="str">
        <f>HYPERLINK("https://youtube.com/presidenceTN","https://youtube.com/presidenceTN")</f>
        <v>https://youtube.com/presidenceTN</v>
      </c>
      <c r="G35" s="46"/>
      <c r="H35" s="46"/>
      <c r="I35" s="46"/>
      <c r="J35" s="3" t="str">
        <f>HYPERLINK("https://youtube.com/maetunisie","https://youtube.com/maetunisie")</f>
        <v>https://youtube.com/maetunisie</v>
      </c>
      <c r="K35" s="46"/>
      <c r="L35" s="46"/>
      <c r="M35" s="46"/>
      <c r="N35" s="46"/>
      <c r="O35" s="46"/>
      <c r="P35" s="64"/>
      <c r="CP35" s="44"/>
      <c r="CQ35" s="44"/>
      <c r="CR35" s="44"/>
      <c r="CS35" s="44"/>
      <c r="CT35" s="44"/>
      <c r="CU35" s="44"/>
      <c r="CV35" s="44"/>
      <c r="CW35" s="44"/>
      <c r="CX35" s="44"/>
      <c r="CY35" s="44"/>
    </row>
    <row r="36" spans="1:103" ht="15" customHeight="1" thickBot="1" x14ac:dyDescent="0.4">
      <c r="A36" s="54" t="s">
        <v>70</v>
      </c>
      <c r="B36" s="55" t="s">
        <v>2</v>
      </c>
      <c r="C36" s="166" t="s">
        <v>70</v>
      </c>
      <c r="D36" s="166"/>
      <c r="E36" s="177" t="s">
        <v>439</v>
      </c>
      <c r="F36" s="175" t="str">
        <f>HYPERLINK("https://youtube.com/statehouseug","https://youtube.com/statehouseug")</f>
        <v>https://youtube.com/statehouseug</v>
      </c>
      <c r="G36" s="55"/>
      <c r="H36" s="175" t="str">
        <f>HYPERLINK("https://youtube.com/ugandamediacentre","https://youtube.com/ugandamediacentre")</f>
        <v>https://youtube.com/ugandamediacentre</v>
      </c>
      <c r="I36" s="55"/>
      <c r="J36" s="55"/>
      <c r="K36" s="55"/>
      <c r="L36" s="55"/>
      <c r="M36" s="55"/>
      <c r="N36" s="55"/>
      <c r="O36" s="55"/>
      <c r="P36" s="176"/>
      <c r="CP36" s="44"/>
      <c r="CQ36" s="44"/>
      <c r="CR36" s="44"/>
      <c r="CS36" s="44"/>
      <c r="CT36" s="44"/>
      <c r="CU36" s="44"/>
      <c r="CV36" s="44"/>
      <c r="CW36" s="44"/>
      <c r="CX36" s="44"/>
      <c r="CY36" s="44"/>
    </row>
    <row r="37" spans="1:103" ht="15" customHeight="1" x14ac:dyDescent="0.35">
      <c r="A37" s="42" t="s">
        <v>20</v>
      </c>
      <c r="B37" s="43" t="s">
        <v>2</v>
      </c>
      <c r="C37" s="165"/>
      <c r="D37" s="165" t="s">
        <v>20</v>
      </c>
      <c r="E37" s="43"/>
      <c r="F37" s="43"/>
      <c r="G37" s="43"/>
      <c r="H37" s="43"/>
      <c r="I37" s="43"/>
      <c r="J37" s="43"/>
      <c r="K37" s="43"/>
      <c r="L37" s="43"/>
      <c r="M37" s="43"/>
      <c r="N37" s="43"/>
      <c r="O37" s="43"/>
      <c r="P37" s="56"/>
      <c r="CP37" s="44"/>
      <c r="CQ37" s="44"/>
      <c r="CR37" s="44"/>
      <c r="CS37" s="44"/>
      <c r="CT37" s="44"/>
      <c r="CU37" s="44"/>
      <c r="CV37" s="44"/>
      <c r="CW37" s="44"/>
      <c r="CX37" s="44"/>
      <c r="CY37" s="44"/>
    </row>
    <row r="38" spans="1:103" ht="15" customHeight="1" x14ac:dyDescent="0.35">
      <c r="A38" s="45" t="s">
        <v>21</v>
      </c>
      <c r="B38" s="46" t="s">
        <v>2</v>
      </c>
      <c r="C38" s="74"/>
      <c r="D38" s="74" t="s">
        <v>21</v>
      </c>
      <c r="E38" s="46"/>
      <c r="F38" s="46"/>
      <c r="G38" s="46"/>
      <c r="H38" s="46"/>
      <c r="I38" s="46"/>
      <c r="J38" s="46"/>
      <c r="K38" s="46"/>
      <c r="L38" s="46"/>
      <c r="M38" s="46"/>
      <c r="N38" s="46"/>
      <c r="O38" s="46"/>
      <c r="P38" s="64"/>
      <c r="CP38" s="44"/>
      <c r="CQ38" s="44"/>
      <c r="CR38" s="44"/>
      <c r="CS38" s="44"/>
      <c r="CT38" s="44"/>
      <c r="CU38" s="44"/>
      <c r="CV38" s="44"/>
      <c r="CW38" s="44"/>
      <c r="CX38" s="44"/>
      <c r="CY38" s="44"/>
    </row>
    <row r="39" spans="1:103" ht="15" customHeight="1" x14ac:dyDescent="0.35">
      <c r="A39" s="45" t="s">
        <v>652</v>
      </c>
      <c r="B39" s="46" t="s">
        <v>2</v>
      </c>
      <c r="C39" s="74"/>
      <c r="D39" s="74" t="s">
        <v>652</v>
      </c>
      <c r="E39" s="4"/>
      <c r="F39" s="46"/>
      <c r="G39" s="46"/>
      <c r="H39" s="46"/>
      <c r="I39" s="46"/>
      <c r="J39" s="46"/>
      <c r="K39" s="46"/>
      <c r="L39" s="46"/>
      <c r="M39" s="46"/>
      <c r="N39" s="46"/>
      <c r="O39" s="46"/>
      <c r="P39" s="64"/>
      <c r="CP39" s="44"/>
      <c r="CQ39" s="44"/>
      <c r="CR39" s="44"/>
      <c r="CS39" s="44"/>
      <c r="CT39" s="44"/>
      <c r="CU39" s="44"/>
      <c r="CV39" s="44"/>
      <c r="CW39" s="44"/>
      <c r="CX39" s="44"/>
      <c r="CY39" s="44"/>
    </row>
    <row r="40" spans="1:103" ht="15" customHeight="1" x14ac:dyDescent="0.35">
      <c r="A40" s="45" t="s">
        <v>25</v>
      </c>
      <c r="B40" s="46" t="s">
        <v>2</v>
      </c>
      <c r="C40" s="74"/>
      <c r="D40" s="74" t="s">
        <v>25</v>
      </c>
      <c r="E40" s="46"/>
      <c r="F40" s="46"/>
      <c r="G40" s="46"/>
      <c r="H40" s="46"/>
      <c r="I40" s="46"/>
      <c r="J40" s="46"/>
      <c r="K40" s="46"/>
      <c r="L40" s="46"/>
      <c r="M40" s="46"/>
      <c r="N40" s="46"/>
      <c r="O40" s="46"/>
      <c r="P40" s="64"/>
      <c r="CP40" s="44"/>
      <c r="CQ40" s="44"/>
      <c r="CR40" s="44"/>
      <c r="CS40" s="44"/>
      <c r="CT40" s="44"/>
      <c r="CU40" s="44"/>
      <c r="CV40" s="44"/>
      <c r="CW40" s="44"/>
      <c r="CX40" s="44"/>
      <c r="CY40" s="44"/>
    </row>
    <row r="41" spans="1:103" ht="15" customHeight="1" x14ac:dyDescent="0.35">
      <c r="A41" s="45" t="s">
        <v>653</v>
      </c>
      <c r="B41" s="46" t="s">
        <v>2</v>
      </c>
      <c r="C41" s="74"/>
      <c r="D41" s="74" t="s">
        <v>653</v>
      </c>
      <c r="E41" s="46"/>
      <c r="F41" s="46"/>
      <c r="G41" s="46"/>
      <c r="H41" s="46"/>
      <c r="I41" s="46"/>
      <c r="J41" s="46"/>
      <c r="K41" s="46"/>
      <c r="L41" s="46"/>
      <c r="M41" s="46"/>
      <c r="N41" s="46"/>
      <c r="O41" s="46"/>
      <c r="P41" s="64"/>
      <c r="CP41" s="44"/>
      <c r="CQ41" s="44"/>
      <c r="CR41" s="44"/>
      <c r="CS41" s="44"/>
      <c r="CT41" s="44"/>
      <c r="CU41" s="44"/>
      <c r="CV41" s="44"/>
      <c r="CW41" s="44"/>
      <c r="CX41" s="44"/>
      <c r="CY41" s="44"/>
    </row>
    <row r="42" spans="1:103" ht="15" customHeight="1" x14ac:dyDescent="0.35">
      <c r="A42" s="45" t="s">
        <v>654</v>
      </c>
      <c r="B42" s="46" t="s">
        <v>2</v>
      </c>
      <c r="C42" s="74"/>
      <c r="D42" s="74" t="s">
        <v>654</v>
      </c>
      <c r="E42" s="46"/>
      <c r="F42" s="46"/>
      <c r="G42" s="46"/>
      <c r="H42" s="46"/>
      <c r="I42" s="46"/>
      <c r="J42" s="46"/>
      <c r="K42" s="46"/>
      <c r="L42" s="46"/>
      <c r="M42" s="46"/>
      <c r="N42" s="46"/>
      <c r="O42" s="46"/>
      <c r="P42" s="64"/>
      <c r="CP42" s="44"/>
      <c r="CQ42" s="44"/>
      <c r="CR42" s="44"/>
      <c r="CS42" s="44"/>
      <c r="CT42" s="44"/>
      <c r="CU42" s="44"/>
      <c r="CV42" s="44"/>
      <c r="CW42" s="44"/>
      <c r="CX42" s="44"/>
      <c r="CY42" s="44"/>
    </row>
    <row r="43" spans="1:103" ht="15" customHeight="1" x14ac:dyDescent="0.35">
      <c r="A43" s="45" t="s">
        <v>37</v>
      </c>
      <c r="B43" s="46" t="s">
        <v>2</v>
      </c>
      <c r="C43" s="74"/>
      <c r="D43" s="74" t="s">
        <v>37</v>
      </c>
      <c r="E43" s="46"/>
      <c r="F43" s="46"/>
      <c r="G43" s="46"/>
      <c r="H43" s="46"/>
      <c r="I43" s="46"/>
      <c r="J43" s="46"/>
      <c r="K43" s="46"/>
      <c r="L43" s="46"/>
      <c r="M43" s="46"/>
      <c r="N43" s="46"/>
      <c r="O43" s="46"/>
      <c r="P43" s="64"/>
      <c r="CP43" s="44"/>
      <c r="CQ43" s="44"/>
      <c r="CR43" s="44"/>
      <c r="CS43" s="44"/>
      <c r="CT43" s="44"/>
      <c r="CU43" s="44"/>
      <c r="CV43" s="44"/>
      <c r="CW43" s="44"/>
      <c r="CX43" s="44"/>
      <c r="CY43" s="44"/>
    </row>
    <row r="44" spans="1:103" ht="15" customHeight="1" x14ac:dyDescent="0.35">
      <c r="A44" s="45" t="s">
        <v>41</v>
      </c>
      <c r="B44" s="46" t="s">
        <v>2</v>
      </c>
      <c r="C44" s="74"/>
      <c r="D44" s="74" t="s">
        <v>41</v>
      </c>
      <c r="E44" s="46"/>
      <c r="F44" s="46"/>
      <c r="G44" s="46"/>
      <c r="H44" s="46"/>
      <c r="I44" s="46"/>
      <c r="J44" s="46"/>
      <c r="K44" s="46"/>
      <c r="L44" s="46"/>
      <c r="M44" s="46"/>
      <c r="N44" s="46"/>
      <c r="O44" s="46"/>
      <c r="P44" s="64"/>
      <c r="CP44" s="44"/>
      <c r="CQ44" s="44"/>
      <c r="CR44" s="44"/>
      <c r="CS44" s="44"/>
      <c r="CT44" s="44"/>
      <c r="CU44" s="44"/>
      <c r="CV44" s="44"/>
      <c r="CW44" s="44"/>
      <c r="CX44" s="44"/>
      <c r="CY44" s="44"/>
    </row>
    <row r="45" spans="1:103" ht="15" customHeight="1" x14ac:dyDescent="0.35">
      <c r="A45" s="45" t="s">
        <v>42</v>
      </c>
      <c r="B45" s="46" t="s">
        <v>2</v>
      </c>
      <c r="C45" s="74"/>
      <c r="D45" s="74" t="s">
        <v>42</v>
      </c>
      <c r="E45" s="4"/>
      <c r="F45" s="46"/>
      <c r="G45" s="46"/>
      <c r="H45" s="46"/>
      <c r="I45" s="46"/>
      <c r="J45" s="46"/>
      <c r="K45" s="46"/>
      <c r="L45" s="46"/>
      <c r="M45" s="46"/>
      <c r="N45" s="46"/>
      <c r="O45" s="46"/>
      <c r="P45" s="64"/>
      <c r="CP45" s="44"/>
      <c r="CQ45" s="44"/>
      <c r="CR45" s="44"/>
      <c r="CS45" s="44"/>
      <c r="CT45" s="44"/>
      <c r="CU45" s="44"/>
      <c r="CV45" s="44"/>
      <c r="CW45" s="44"/>
      <c r="CX45" s="44"/>
      <c r="CY45" s="44"/>
    </row>
    <row r="46" spans="1:103" ht="15" customHeight="1" x14ac:dyDescent="0.35">
      <c r="A46" s="45" t="s">
        <v>47</v>
      </c>
      <c r="B46" s="46" t="s">
        <v>2</v>
      </c>
      <c r="C46" s="74"/>
      <c r="D46" s="74" t="s">
        <v>47</v>
      </c>
      <c r="E46" s="46"/>
      <c r="F46" s="46"/>
      <c r="G46" s="46"/>
      <c r="H46" s="46"/>
      <c r="I46" s="46"/>
      <c r="J46" s="46"/>
      <c r="K46" s="46"/>
      <c r="L46" s="46"/>
      <c r="M46" s="46"/>
      <c r="N46" s="46"/>
      <c r="O46" s="46"/>
      <c r="P46" s="64"/>
      <c r="CP46" s="44"/>
      <c r="CQ46" s="44"/>
      <c r="CR46" s="44"/>
      <c r="CS46" s="44"/>
      <c r="CT46" s="44"/>
      <c r="CU46" s="44"/>
      <c r="CV46" s="44"/>
      <c r="CW46" s="44"/>
      <c r="CX46" s="44"/>
      <c r="CY46" s="44"/>
    </row>
    <row r="47" spans="1:103" ht="15" customHeight="1" x14ac:dyDescent="0.35">
      <c r="A47" s="45" t="s">
        <v>49</v>
      </c>
      <c r="B47" s="46" t="s">
        <v>2</v>
      </c>
      <c r="C47" s="74"/>
      <c r="D47" s="74" t="s">
        <v>49</v>
      </c>
      <c r="E47" s="46"/>
      <c r="F47" s="46"/>
      <c r="G47" s="46"/>
      <c r="H47" s="46"/>
      <c r="I47" s="46"/>
      <c r="J47" s="46"/>
      <c r="K47" s="46"/>
      <c r="L47" s="46"/>
      <c r="M47" s="46"/>
      <c r="N47" s="46"/>
      <c r="O47" s="46"/>
      <c r="P47" s="64"/>
      <c r="CP47" s="44"/>
      <c r="CQ47" s="44"/>
      <c r="CR47" s="44"/>
      <c r="CS47" s="44"/>
      <c r="CT47" s="44"/>
      <c r="CU47" s="44"/>
      <c r="CV47" s="44"/>
      <c r="CW47" s="44"/>
      <c r="CX47" s="44"/>
      <c r="CY47" s="44"/>
    </row>
    <row r="48" spans="1:103" ht="15" customHeight="1" x14ac:dyDescent="0.35">
      <c r="A48" s="45" t="s">
        <v>55</v>
      </c>
      <c r="B48" s="46" t="s">
        <v>2</v>
      </c>
      <c r="C48" s="46"/>
      <c r="D48" s="74" t="s">
        <v>55</v>
      </c>
      <c r="E48" s="4"/>
      <c r="F48" s="46"/>
      <c r="G48" s="46"/>
      <c r="H48" s="46"/>
      <c r="I48" s="46"/>
      <c r="J48" s="46"/>
      <c r="K48" s="46"/>
      <c r="L48" s="46"/>
      <c r="M48" s="46"/>
      <c r="N48" s="46"/>
      <c r="O48" s="46"/>
      <c r="P48" s="64"/>
      <c r="CP48" s="44"/>
      <c r="CQ48" s="44"/>
      <c r="CR48" s="44"/>
      <c r="CS48" s="44"/>
      <c r="CT48" s="44"/>
      <c r="CU48" s="44"/>
      <c r="CV48" s="44"/>
      <c r="CW48" s="44"/>
      <c r="CX48" s="44"/>
      <c r="CY48" s="44"/>
    </row>
    <row r="49" spans="1:103" ht="15" customHeight="1" x14ac:dyDescent="0.35">
      <c r="A49" s="45" t="s">
        <v>59</v>
      </c>
      <c r="B49" s="46" t="s">
        <v>2</v>
      </c>
      <c r="C49" s="74"/>
      <c r="D49" s="74" t="s">
        <v>59</v>
      </c>
      <c r="E49" s="46"/>
      <c r="F49" s="46"/>
      <c r="G49" s="46"/>
      <c r="H49" s="46"/>
      <c r="I49" s="46"/>
      <c r="J49" s="46"/>
      <c r="K49" s="46"/>
      <c r="L49" s="46"/>
      <c r="M49" s="46"/>
      <c r="N49" s="46"/>
      <c r="O49" s="46"/>
      <c r="P49" s="64"/>
      <c r="CP49" s="44"/>
      <c r="CQ49" s="44"/>
      <c r="CR49" s="44"/>
      <c r="CS49" s="44"/>
      <c r="CT49" s="44"/>
      <c r="CU49" s="44"/>
      <c r="CV49" s="44"/>
      <c r="CW49" s="44"/>
      <c r="CX49" s="44"/>
      <c r="CY49" s="44"/>
    </row>
    <row r="50" spans="1:103" ht="15" customHeight="1" x14ac:dyDescent="0.35">
      <c r="A50" s="45" t="s">
        <v>63</v>
      </c>
      <c r="B50" s="46" t="s">
        <v>2</v>
      </c>
      <c r="C50" s="74"/>
      <c r="D50" s="74" t="s">
        <v>63</v>
      </c>
      <c r="E50" s="46"/>
      <c r="F50" s="46"/>
      <c r="G50" s="46"/>
      <c r="H50" s="46"/>
      <c r="I50" s="46"/>
      <c r="J50" s="46"/>
      <c r="K50" s="46"/>
      <c r="L50" s="46"/>
      <c r="M50" s="46"/>
      <c r="N50" s="46"/>
      <c r="O50" s="46"/>
      <c r="P50" s="64"/>
      <c r="CP50" s="44"/>
      <c r="CQ50" s="44"/>
      <c r="CR50" s="44"/>
      <c r="CS50" s="44"/>
      <c r="CT50" s="44"/>
      <c r="CU50" s="44"/>
      <c r="CV50" s="44"/>
      <c r="CW50" s="44"/>
      <c r="CX50" s="44"/>
      <c r="CY50" s="44"/>
    </row>
    <row r="51" spans="1:103" ht="15" customHeight="1" x14ac:dyDescent="0.35">
      <c r="A51" s="45" t="s">
        <v>64</v>
      </c>
      <c r="B51" s="46" t="s">
        <v>2</v>
      </c>
      <c r="C51" s="74"/>
      <c r="D51" s="74" t="s">
        <v>64</v>
      </c>
      <c r="E51" s="4"/>
      <c r="F51" s="46"/>
      <c r="G51" s="46"/>
      <c r="H51" s="46"/>
      <c r="I51" s="46"/>
      <c r="J51" s="46"/>
      <c r="K51" s="46"/>
      <c r="L51" s="46"/>
      <c r="M51" s="46"/>
      <c r="N51" s="46"/>
      <c r="O51" s="46"/>
      <c r="P51" s="64"/>
      <c r="CP51" s="44"/>
      <c r="CQ51" s="44"/>
      <c r="CR51" s="44"/>
      <c r="CS51" s="44"/>
      <c r="CT51" s="44"/>
      <c r="CU51" s="44"/>
      <c r="CV51" s="44"/>
      <c r="CW51" s="44"/>
      <c r="CX51" s="44"/>
      <c r="CY51" s="44"/>
    </row>
    <row r="52" spans="1:103" ht="15" customHeight="1" x14ac:dyDescent="0.35">
      <c r="A52" s="45" t="s">
        <v>655</v>
      </c>
      <c r="B52" s="46" t="s">
        <v>2</v>
      </c>
      <c r="C52" s="74"/>
      <c r="D52" s="74" t="s">
        <v>655</v>
      </c>
      <c r="E52" s="46"/>
      <c r="F52" s="46"/>
      <c r="G52" s="46"/>
      <c r="H52" s="46"/>
      <c r="I52" s="46"/>
      <c r="J52" s="46"/>
      <c r="K52" s="46"/>
      <c r="L52" s="46"/>
      <c r="M52" s="46"/>
      <c r="N52" s="46"/>
      <c r="O52" s="46"/>
      <c r="P52" s="64"/>
      <c r="CP52" s="44"/>
      <c r="CQ52" s="44"/>
      <c r="CR52" s="44"/>
      <c r="CS52" s="44"/>
      <c r="CT52" s="44"/>
      <c r="CU52" s="44"/>
      <c r="CV52" s="44"/>
      <c r="CW52" s="44"/>
      <c r="CX52" s="44"/>
      <c r="CY52" s="44"/>
    </row>
    <row r="53" spans="1:103" ht="15" customHeight="1" x14ac:dyDescent="0.35">
      <c r="A53" s="45" t="s">
        <v>72</v>
      </c>
      <c r="B53" s="46" t="s">
        <v>2</v>
      </c>
      <c r="C53" s="74"/>
      <c r="D53" s="74" t="s">
        <v>72</v>
      </c>
      <c r="E53" s="46"/>
      <c r="F53" s="46"/>
      <c r="G53" s="46"/>
      <c r="H53" s="46"/>
      <c r="I53" s="46"/>
      <c r="J53" s="46"/>
      <c r="K53" s="46"/>
      <c r="L53" s="46"/>
      <c r="M53" s="46"/>
      <c r="N53" s="46"/>
      <c r="O53" s="46"/>
      <c r="P53" s="64"/>
      <c r="CP53" s="44"/>
      <c r="CQ53" s="44"/>
      <c r="CR53" s="44"/>
      <c r="CS53" s="44"/>
      <c r="CT53" s="44"/>
      <c r="CU53" s="44"/>
      <c r="CV53" s="44"/>
      <c r="CW53" s="44"/>
      <c r="CX53" s="44"/>
      <c r="CY53" s="44"/>
    </row>
    <row r="54" spans="1:103" ht="15" customHeight="1" thickBot="1" x14ac:dyDescent="0.4">
      <c r="A54" s="57" t="s">
        <v>656</v>
      </c>
      <c r="B54" s="58" t="s">
        <v>2</v>
      </c>
      <c r="C54" s="173"/>
      <c r="D54" s="173" t="s">
        <v>656</v>
      </c>
      <c r="E54" s="69"/>
      <c r="F54" s="58"/>
      <c r="G54" s="58"/>
      <c r="H54" s="58"/>
      <c r="I54" s="58"/>
      <c r="J54" s="58"/>
      <c r="K54" s="58"/>
      <c r="L54" s="58"/>
      <c r="M54" s="58"/>
      <c r="N54" s="58"/>
      <c r="O54" s="58"/>
      <c r="P54" s="59"/>
      <c r="CP54" s="44"/>
      <c r="CQ54" s="44"/>
      <c r="CR54" s="44"/>
      <c r="CS54" s="44"/>
      <c r="CT54" s="44"/>
      <c r="CU54" s="44"/>
      <c r="CV54" s="44"/>
      <c r="CW54" s="44"/>
      <c r="CX54" s="44"/>
      <c r="CY54" s="44"/>
    </row>
    <row r="55" spans="1:103" ht="15" customHeight="1" x14ac:dyDescent="0.35">
      <c r="A55" s="181" t="s">
        <v>74</v>
      </c>
      <c r="B55" s="182" t="s">
        <v>73</v>
      </c>
      <c r="C55" s="183" t="s">
        <v>74</v>
      </c>
      <c r="D55" s="183"/>
      <c r="E55" s="184" t="s">
        <v>75</v>
      </c>
      <c r="F55" s="185" t="str">
        <f>HYPERLINK("https://youtube.com/ARG1880","https://youtube.com/ARG1880")</f>
        <v>https://youtube.com/ARG1880</v>
      </c>
      <c r="G55" s="186" t="str">
        <f>HYPERLINK("https://youtube.com/channel/UCiHoMDXJQboJy1UEN-hBU9A","https://youtube.com/channel/UCiHoMDXJQboJy1UEN-hBU9A")</f>
        <v>https://youtube.com/channel/UCiHoMDXJQboJy1UEN-hBU9A</v>
      </c>
      <c r="H55" s="185" t="str">
        <f>HYPERLINK("https://youtube.com/gmicafghanistan","https://youtube.com/gmicafghanistan")</f>
        <v>https://youtube.com/gmicafghanistan</v>
      </c>
      <c r="I55" s="182"/>
      <c r="J55" s="182"/>
      <c r="K55" s="182"/>
      <c r="L55" s="182"/>
      <c r="M55" s="182"/>
      <c r="N55" s="182"/>
      <c r="O55" s="182"/>
      <c r="P55" s="187"/>
      <c r="CP55" s="44"/>
      <c r="CQ55" s="44"/>
      <c r="CR55" s="44"/>
      <c r="CS55" s="44"/>
      <c r="CT55" s="44"/>
      <c r="CU55" s="44"/>
      <c r="CV55" s="44"/>
      <c r="CW55" s="44"/>
      <c r="CX55" s="44"/>
      <c r="CY55" s="44"/>
    </row>
    <row r="56" spans="1:103" ht="15" customHeight="1" x14ac:dyDescent="0.35">
      <c r="A56" s="45" t="s">
        <v>79</v>
      </c>
      <c r="B56" s="46" t="s">
        <v>73</v>
      </c>
      <c r="C56" s="74" t="s">
        <v>79</v>
      </c>
      <c r="D56" s="74"/>
      <c r="E56" s="46"/>
      <c r="F56" s="3" t="str">
        <f>HYPERLINK("https://youtube.com/presidentpress","https://youtube.com/presidentpress")</f>
        <v>https://youtube.com/presidentpress</v>
      </c>
      <c r="G56" s="46"/>
      <c r="H56" s="3" t="str">
        <f>HYPERLINK("https://youtube.com/egovernmentam","https://youtube.com/egovernmentam")</f>
        <v>https://youtube.com/egovernmentam</v>
      </c>
      <c r="I56" s="46"/>
      <c r="J56" s="8" t="s">
        <v>80</v>
      </c>
      <c r="K56" s="46"/>
      <c r="L56" s="46"/>
      <c r="M56" s="46"/>
      <c r="N56" s="46"/>
      <c r="O56" s="46"/>
      <c r="P56" s="64"/>
      <c r="CP56" s="44"/>
      <c r="CQ56" s="44"/>
      <c r="CR56" s="44"/>
      <c r="CS56" s="44"/>
      <c r="CT56" s="44"/>
      <c r="CU56" s="44"/>
      <c r="CV56" s="44"/>
      <c r="CW56" s="44"/>
      <c r="CX56" s="44"/>
      <c r="CY56" s="44"/>
    </row>
    <row r="57" spans="1:103" ht="15" customHeight="1" x14ac:dyDescent="0.35">
      <c r="A57" s="45" t="s">
        <v>81</v>
      </c>
      <c r="B57" s="46" t="s">
        <v>73</v>
      </c>
      <c r="C57" s="74" t="s">
        <v>657</v>
      </c>
      <c r="D57" s="74"/>
      <c r="E57" s="3" t="str">
        <f>HYPERLINK("https://youtube.com/presidentaz","https://youtube.com/presidentaz")</f>
        <v>https://youtube.com/presidentaz</v>
      </c>
      <c r="F57" s="46"/>
      <c r="G57" s="46"/>
      <c r="H57" s="46"/>
      <c r="I57" s="46"/>
      <c r="J57" s="3" t="str">
        <f>HYPERLINK("https://youtube.com/MFAAzerbaijan","https://youtube.com/MFAAzerbaijan")</f>
        <v>https://youtube.com/MFAAzerbaijan</v>
      </c>
      <c r="K57" s="46"/>
      <c r="L57" s="46"/>
      <c r="M57" s="46"/>
      <c r="N57" s="46"/>
      <c r="O57" s="46"/>
      <c r="P57" s="64"/>
      <c r="CP57" s="44"/>
      <c r="CQ57" s="44"/>
      <c r="CR57" s="44"/>
      <c r="CS57" s="44"/>
      <c r="CT57" s="44"/>
      <c r="CU57" s="44"/>
      <c r="CV57" s="44"/>
      <c r="CW57" s="44"/>
      <c r="CX57" s="44"/>
      <c r="CY57" s="44"/>
    </row>
    <row r="58" spans="1:103" ht="15" customHeight="1" x14ac:dyDescent="0.35">
      <c r="A58" s="45" t="s">
        <v>84</v>
      </c>
      <c r="B58" s="46" t="s">
        <v>73</v>
      </c>
      <c r="C58" s="74" t="s">
        <v>84</v>
      </c>
      <c r="D58" s="74"/>
      <c r="E58" s="46"/>
      <c r="F58" s="7" t="s">
        <v>440</v>
      </c>
      <c r="G58" s="46"/>
      <c r="H58" s="3" t="str">
        <f>HYPERLINK("https://youtube.com/egovbahrain","https://youtube.com/egovbahrain")</f>
        <v>https://youtube.com/egovbahrain</v>
      </c>
      <c r="I58" s="46"/>
      <c r="J58" s="3" t="str">
        <f>HYPERLINK("https://youtube.com/bahrainvideo","https://youtube.com/bahrainvideo")</f>
        <v>https://youtube.com/bahrainvideo</v>
      </c>
      <c r="K58" s="46"/>
      <c r="L58" s="46"/>
      <c r="M58" s="46"/>
      <c r="N58" s="46"/>
      <c r="O58" s="46"/>
      <c r="P58" s="64"/>
      <c r="CP58" s="44"/>
      <c r="CQ58" s="44"/>
      <c r="CR58" s="44"/>
      <c r="CS58" s="44"/>
      <c r="CT58" s="44"/>
      <c r="CU58" s="44"/>
      <c r="CV58" s="44"/>
      <c r="CW58" s="44"/>
      <c r="CX58" s="44"/>
      <c r="CY58" s="44"/>
    </row>
    <row r="59" spans="1:103" ht="15" customHeight="1" x14ac:dyDescent="0.35">
      <c r="A59" s="45" t="s">
        <v>86</v>
      </c>
      <c r="B59" s="46" t="s">
        <v>73</v>
      </c>
      <c r="C59" s="74" t="s">
        <v>86</v>
      </c>
      <c r="D59" s="74"/>
      <c r="E59" s="46"/>
      <c r="F59" s="46"/>
      <c r="G59" s="46"/>
      <c r="H59" s="7" t="s">
        <v>87</v>
      </c>
      <c r="I59" s="46"/>
      <c r="J59" s="46"/>
      <c r="K59" s="46"/>
      <c r="L59" s="46"/>
      <c r="M59" s="46"/>
      <c r="N59" s="46"/>
      <c r="O59" s="46"/>
      <c r="P59" s="64"/>
      <c r="CP59" s="44"/>
      <c r="CQ59" s="44"/>
      <c r="CR59" s="44"/>
      <c r="CS59" s="44"/>
      <c r="CT59" s="44"/>
      <c r="CU59" s="44"/>
      <c r="CV59" s="44"/>
      <c r="CW59" s="44"/>
      <c r="CX59" s="44"/>
      <c r="CY59" s="44"/>
    </row>
    <row r="60" spans="1:103" ht="15" customHeight="1" x14ac:dyDescent="0.35">
      <c r="A60" s="45" t="s">
        <v>88</v>
      </c>
      <c r="B60" s="46" t="s">
        <v>73</v>
      </c>
      <c r="C60" s="74" t="s">
        <v>88</v>
      </c>
      <c r="D60" s="74"/>
      <c r="E60" s="2"/>
      <c r="F60" s="46"/>
      <c r="G60" s="7" t="s">
        <v>90</v>
      </c>
      <c r="H60" s="46"/>
      <c r="I60" s="46"/>
      <c r="J60" s="46"/>
      <c r="K60" s="46"/>
      <c r="L60" s="46"/>
      <c r="M60" s="46"/>
      <c r="N60" s="46"/>
      <c r="O60" s="46"/>
      <c r="P60" s="64"/>
      <c r="CP60" s="44"/>
      <c r="CQ60" s="44"/>
      <c r="CR60" s="44"/>
      <c r="CS60" s="44"/>
      <c r="CT60" s="44"/>
      <c r="CU60" s="44"/>
      <c r="CV60" s="44"/>
      <c r="CW60" s="44"/>
      <c r="CX60" s="44"/>
      <c r="CY60" s="44"/>
    </row>
    <row r="61" spans="1:103" ht="15" customHeight="1" x14ac:dyDescent="0.35">
      <c r="A61" s="45" t="s">
        <v>658</v>
      </c>
      <c r="B61" s="46" t="s">
        <v>73</v>
      </c>
      <c r="C61" s="74" t="s">
        <v>658</v>
      </c>
      <c r="D61" s="74"/>
      <c r="E61" s="46"/>
      <c r="F61" s="46"/>
      <c r="G61" s="46"/>
      <c r="H61" s="2" t="s">
        <v>441</v>
      </c>
      <c r="I61" s="46"/>
      <c r="J61" s="46"/>
      <c r="K61" s="46"/>
      <c r="L61" s="46"/>
      <c r="M61" s="46"/>
      <c r="N61" s="46"/>
      <c r="O61" s="46"/>
      <c r="P61" s="64"/>
      <c r="CP61" s="44"/>
      <c r="CQ61" s="44"/>
      <c r="CR61" s="44"/>
      <c r="CS61" s="44"/>
      <c r="CT61" s="44"/>
      <c r="CU61" s="44"/>
      <c r="CV61" s="44"/>
      <c r="CW61" s="44"/>
      <c r="CX61" s="44"/>
      <c r="CY61" s="44"/>
    </row>
    <row r="62" spans="1:103" ht="15" customHeight="1" x14ac:dyDescent="0.35">
      <c r="A62" s="45" t="s">
        <v>92</v>
      </c>
      <c r="B62" s="46" t="s">
        <v>73</v>
      </c>
      <c r="C62" s="74" t="s">
        <v>92</v>
      </c>
      <c r="D62" s="74"/>
      <c r="E62" s="46"/>
      <c r="F62" s="46"/>
      <c r="G62" s="46" t="s">
        <v>700</v>
      </c>
      <c r="H62" s="46"/>
      <c r="I62" s="46"/>
      <c r="J62" s="46"/>
      <c r="K62" s="46"/>
      <c r="L62" s="46"/>
      <c r="M62" s="46"/>
      <c r="N62" s="46"/>
      <c r="O62" s="46"/>
      <c r="P62" s="64"/>
      <c r="CP62" s="44"/>
      <c r="CQ62" s="44"/>
      <c r="CR62" s="44"/>
      <c r="CS62" s="44"/>
      <c r="CT62" s="44"/>
      <c r="CU62" s="44"/>
      <c r="CV62" s="44"/>
      <c r="CW62" s="44"/>
      <c r="CX62" s="44"/>
      <c r="CY62" s="44"/>
    </row>
    <row r="63" spans="1:103" ht="15" customHeight="1" x14ac:dyDescent="0.35">
      <c r="A63" s="45" t="s">
        <v>94</v>
      </c>
      <c r="B63" s="46" t="s">
        <v>73</v>
      </c>
      <c r="C63" s="74" t="s">
        <v>94</v>
      </c>
      <c r="D63" s="74"/>
      <c r="E63" s="9" t="str">
        <f>HYPERLINK("https://youtube.com/channel/UCBmnV-XxYK0kqqMWIqJmR7g","https://youtube.com/channel/UCBmnV-XxYK0kqqMWIqJmR7g")</f>
        <v>https://youtube.com/channel/UCBmnV-XxYK0kqqMWIqJmR7g</v>
      </c>
      <c r="F63" s="46"/>
      <c r="G63" s="46"/>
      <c r="H63" s="7" t="s">
        <v>629</v>
      </c>
      <c r="I63" s="46"/>
      <c r="J63" s="3" t="str">
        <f>HYPERLINK("https://youtube.com/MFAGEO","https://youtube.com/MFAGEO")</f>
        <v>https://youtube.com/MFAGEO</v>
      </c>
      <c r="K63" s="46"/>
      <c r="L63" s="46"/>
      <c r="M63" s="46"/>
      <c r="N63" s="46"/>
      <c r="O63" s="46"/>
      <c r="P63" s="64"/>
      <c r="CP63" s="44"/>
      <c r="CQ63" s="44"/>
      <c r="CR63" s="44"/>
      <c r="CS63" s="44"/>
      <c r="CT63" s="44"/>
      <c r="CU63" s="44"/>
      <c r="CV63" s="44"/>
      <c r="CW63" s="44"/>
      <c r="CX63" s="44"/>
      <c r="CY63" s="44"/>
    </row>
    <row r="64" spans="1:103" ht="15" customHeight="1" x14ac:dyDescent="0.35">
      <c r="A64" s="45" t="s">
        <v>95</v>
      </c>
      <c r="B64" s="46" t="s">
        <v>73</v>
      </c>
      <c r="C64" s="74" t="s">
        <v>95</v>
      </c>
      <c r="D64" s="74"/>
      <c r="G64" s="8" t="s">
        <v>96</v>
      </c>
      <c r="H64" s="29" t="s">
        <v>1154</v>
      </c>
      <c r="I64" s="3" t="str">
        <f>HYPERLINK("https://youtube.com/MeaIndia","https://youtube.com/MeaIndia")</f>
        <v>https://youtube.com/MeaIndia</v>
      </c>
      <c r="J64" s="3" t="str">
        <f>HYPERLINK("https://youtube.com/Indiandiplomacy","https://youtube.com/Indiandiplomacy")</f>
        <v>https://youtube.com/Indiandiplomacy</v>
      </c>
      <c r="K64" s="46"/>
      <c r="L64" s="46"/>
      <c r="M64" s="46"/>
      <c r="N64" s="46"/>
      <c r="O64" s="46"/>
      <c r="P64" s="64"/>
      <c r="CP64" s="44"/>
      <c r="CQ64" s="44"/>
      <c r="CR64" s="44"/>
      <c r="CS64" s="44"/>
      <c r="CT64" s="44"/>
      <c r="CU64" s="44"/>
      <c r="CV64" s="44"/>
      <c r="CW64" s="44"/>
      <c r="CX64" s="44"/>
      <c r="CY64" s="44"/>
    </row>
    <row r="65" spans="1:103" ht="15" customHeight="1" x14ac:dyDescent="0.35">
      <c r="A65" s="45" t="s">
        <v>100</v>
      </c>
      <c r="B65" s="46" t="s">
        <v>73</v>
      </c>
      <c r="C65" s="74" t="s">
        <v>100</v>
      </c>
      <c r="D65" s="74"/>
      <c r="E65" s="8" t="s">
        <v>101</v>
      </c>
      <c r="F65" s="8" t="s">
        <v>102</v>
      </c>
      <c r="G65" s="46"/>
      <c r="H65" s="46"/>
      <c r="I65" s="46"/>
      <c r="J65" s="46"/>
      <c r="K65" s="46"/>
      <c r="L65" s="46"/>
      <c r="M65" s="46"/>
      <c r="N65" s="46"/>
      <c r="O65" s="46"/>
      <c r="P65" s="64"/>
      <c r="CP65" s="44"/>
      <c r="CQ65" s="44"/>
      <c r="CR65" s="44"/>
      <c r="CS65" s="44"/>
      <c r="CT65" s="44"/>
      <c r="CU65" s="44"/>
      <c r="CV65" s="44"/>
      <c r="CW65" s="44"/>
      <c r="CX65" s="44"/>
      <c r="CY65" s="44"/>
    </row>
    <row r="66" spans="1:103" ht="15" customHeight="1" x14ac:dyDescent="0.35">
      <c r="A66" s="45" t="s">
        <v>103</v>
      </c>
      <c r="B66" s="46" t="s">
        <v>73</v>
      </c>
      <c r="C66" s="74" t="s">
        <v>103</v>
      </c>
      <c r="D66" s="74"/>
      <c r="E66" s="4" t="s">
        <v>633</v>
      </c>
      <c r="F66" s="46"/>
      <c r="G66" s="2" t="s">
        <v>632</v>
      </c>
      <c r="H66" s="46"/>
      <c r="I66" s="46"/>
      <c r="J66" s="46"/>
      <c r="K66" s="2" t="s">
        <v>634</v>
      </c>
      <c r="L66" s="46"/>
      <c r="M66" s="46"/>
      <c r="N66" s="46"/>
      <c r="O66" s="46"/>
      <c r="P66" s="64"/>
      <c r="CP66" s="44"/>
      <c r="CQ66" s="44"/>
      <c r="CR66" s="44"/>
      <c r="CS66" s="44"/>
      <c r="CT66" s="44"/>
      <c r="CU66" s="44"/>
      <c r="CV66" s="44"/>
      <c r="CW66" s="44"/>
      <c r="CX66" s="44"/>
      <c r="CY66" s="44"/>
    </row>
    <row r="67" spans="1:103" ht="15" customHeight="1" x14ac:dyDescent="0.35">
      <c r="A67" s="45" t="s">
        <v>105</v>
      </c>
      <c r="B67" s="46" t="s">
        <v>73</v>
      </c>
      <c r="C67" s="74" t="s">
        <v>105</v>
      </c>
      <c r="D67" s="74"/>
      <c r="E67" s="46"/>
      <c r="F67" s="46"/>
      <c r="G67" s="8" t="s">
        <v>106</v>
      </c>
      <c r="H67" s="3" t="str">
        <f>HYPERLINK("https://youtube.com/pmoiraqichannel","https://youtube.com/pmoiraqichannel")</f>
        <v>https://youtube.com/pmoiraqichannel</v>
      </c>
      <c r="I67" s="9" t="str">
        <f>HYPERLINK("https://youtube.com/aljaffaary","https://youtube.com/aljaffaary")</f>
        <v>https://youtube.com/aljaffaary</v>
      </c>
      <c r="J67" s="46"/>
      <c r="K67" s="46"/>
      <c r="L67" s="46"/>
      <c r="M67" s="46"/>
      <c r="N67" s="46"/>
      <c r="O67" s="46"/>
      <c r="P67" s="64"/>
      <c r="CP67" s="44"/>
      <c r="CQ67" s="44"/>
      <c r="CR67" s="44"/>
      <c r="CS67" s="44"/>
      <c r="CT67" s="44"/>
      <c r="CU67" s="44"/>
      <c r="CV67" s="44"/>
      <c r="CW67" s="44"/>
      <c r="CX67" s="44"/>
      <c r="CY67" s="44"/>
    </row>
    <row r="68" spans="1:103" ht="15" customHeight="1" x14ac:dyDescent="0.35">
      <c r="A68" s="45" t="s">
        <v>107</v>
      </c>
      <c r="B68" s="46" t="s">
        <v>73</v>
      </c>
      <c r="C68" s="74" t="s">
        <v>107</v>
      </c>
      <c r="D68" s="74"/>
      <c r="E68" s="46"/>
      <c r="F68" s="46"/>
      <c r="G68" s="7" t="s">
        <v>108</v>
      </c>
      <c r="H68" s="3" t="str">
        <f>HYPERLINK("https://youtube.com/israelipm","https://youtube.com/israelipm")</f>
        <v>https://youtube.com/israelipm</v>
      </c>
      <c r="I68" s="46"/>
      <c r="J68" s="3" t="str">
        <f>HYPERLINK("https://youtube.com/IsraelMFA","https://youtube.com/IsraelMFA")</f>
        <v>https://youtube.com/IsraelMFA</v>
      </c>
      <c r="K68" s="46"/>
      <c r="L68" s="46"/>
      <c r="M68" s="46"/>
      <c r="N68" s="46"/>
      <c r="O68" s="46"/>
      <c r="P68" s="29" t="s">
        <v>1150</v>
      </c>
      <c r="CP68" s="44"/>
      <c r="CQ68" s="44"/>
      <c r="CR68" s="44"/>
      <c r="CS68" s="44"/>
      <c r="CT68" s="44"/>
      <c r="CU68" s="44"/>
      <c r="CV68" s="44"/>
      <c r="CW68" s="44"/>
      <c r="CX68" s="44"/>
      <c r="CY68" s="44"/>
    </row>
    <row r="69" spans="1:103" ht="15" customHeight="1" x14ac:dyDescent="0.35">
      <c r="A69" s="45" t="s">
        <v>110</v>
      </c>
      <c r="B69" s="46" t="s">
        <v>73</v>
      </c>
      <c r="C69" s="74" t="s">
        <v>110</v>
      </c>
      <c r="D69" s="74"/>
      <c r="E69" s="46"/>
      <c r="F69" s="46"/>
      <c r="G69" s="46"/>
      <c r="H69" s="3" t="str">
        <f>HYPERLINK("https://youtube.com/kanteijp","https://youtube.com/kanteijp")</f>
        <v>https://youtube.com/kanteijp</v>
      </c>
      <c r="I69" s="46"/>
      <c r="J69" s="46"/>
      <c r="K69" s="46"/>
      <c r="L69" s="46"/>
      <c r="M69" s="46"/>
      <c r="N69" s="3" t="str">
        <f>HYPERLINK("https://youtube.com/pmojapan","https://youtube.com/pmojapan")</f>
        <v>https://youtube.com/pmojapan</v>
      </c>
      <c r="O69" s="46"/>
      <c r="P69" s="64"/>
      <c r="CP69" s="44"/>
      <c r="CQ69" s="44"/>
      <c r="CR69" s="44"/>
      <c r="CS69" s="44"/>
      <c r="CT69" s="44"/>
      <c r="CU69" s="44"/>
      <c r="CV69" s="44"/>
      <c r="CW69" s="44"/>
      <c r="CX69" s="44"/>
      <c r="CY69" s="44"/>
    </row>
    <row r="70" spans="1:103" ht="15" customHeight="1" x14ac:dyDescent="0.35">
      <c r="A70" s="45" t="s">
        <v>112</v>
      </c>
      <c r="B70" s="46" t="s">
        <v>73</v>
      </c>
      <c r="C70" s="74" t="s">
        <v>112</v>
      </c>
      <c r="D70" s="74"/>
      <c r="E70" s="3" t="str">
        <f>HYPERLINK("https://youtube.com/QueenRania","https://youtube.com/QueenRania")</f>
        <v>https://youtube.com/QueenRania</v>
      </c>
      <c r="F70" s="3" t="str">
        <f>HYPERLINK("https://youtube.com/royalhashemitecourt","https://youtube.com/royalhashemitecourt")</f>
        <v>https://youtube.com/royalhashemitecourt</v>
      </c>
      <c r="G70" s="4"/>
      <c r="H70" s="46"/>
      <c r="I70" s="46"/>
      <c r="J70" s="2" t="s">
        <v>442</v>
      </c>
      <c r="K70" s="46"/>
      <c r="L70" s="46"/>
      <c r="M70" s="46"/>
      <c r="N70" s="46"/>
      <c r="O70" s="46"/>
      <c r="P70" s="64"/>
      <c r="CP70" s="44"/>
      <c r="CQ70" s="44"/>
      <c r="CR70" s="44"/>
      <c r="CS70" s="44"/>
      <c r="CT70" s="44"/>
      <c r="CU70" s="44"/>
      <c r="CV70" s="44"/>
      <c r="CW70" s="44"/>
      <c r="CX70" s="44"/>
      <c r="CY70" s="44"/>
    </row>
    <row r="71" spans="1:103" ht="15" customHeight="1" x14ac:dyDescent="0.35">
      <c r="A71" s="45" t="s">
        <v>116</v>
      </c>
      <c r="B71" s="46" t="s">
        <v>73</v>
      </c>
      <c r="C71" s="74" t="s">
        <v>116</v>
      </c>
      <c r="D71" s="74"/>
      <c r="E71" s="46"/>
      <c r="F71" s="3" t="str">
        <f>HYPERLINK("https://youtube.com/akordapress","https://youtube.com/akordapress")</f>
        <v>https://youtube.com/akordapress</v>
      </c>
      <c r="G71" s="7" t="s">
        <v>428</v>
      </c>
      <c r="H71" s="3" t="str">
        <f>HYPERLINK("https://youtube.com/primeministerkz","https://youtube.com/primeministerkz")</f>
        <v>https://youtube.com/primeministerkz</v>
      </c>
      <c r="I71" s="46"/>
      <c r="J71" s="3" t="str">
        <f>HYPERLINK("https://youtube.com/foreignministry","https://youtube.com/foreignministry")</f>
        <v>https://youtube.com/foreignministry</v>
      </c>
      <c r="K71" s="46"/>
      <c r="L71" s="8" t="s">
        <v>659</v>
      </c>
      <c r="M71" s="46"/>
      <c r="N71" s="18" t="s">
        <v>443</v>
      </c>
      <c r="O71" s="46"/>
      <c r="P71" s="64"/>
      <c r="CP71" s="44"/>
      <c r="CQ71" s="44"/>
      <c r="CR71" s="44"/>
      <c r="CS71" s="44"/>
      <c r="CT71" s="44"/>
      <c r="CU71" s="44"/>
      <c r="CV71" s="44"/>
      <c r="CW71" s="44"/>
      <c r="CX71" s="44"/>
      <c r="CY71" s="44"/>
    </row>
    <row r="72" spans="1:103" ht="15" customHeight="1" x14ac:dyDescent="0.35">
      <c r="A72" s="45" t="s">
        <v>119</v>
      </c>
      <c r="B72" s="46" t="s">
        <v>73</v>
      </c>
      <c r="C72" s="74" t="s">
        <v>119</v>
      </c>
      <c r="D72" s="74"/>
      <c r="E72" s="46"/>
      <c r="F72" s="46"/>
      <c r="G72" s="46"/>
      <c r="H72" s="46"/>
      <c r="I72" s="46"/>
      <c r="J72" s="7" t="s">
        <v>120</v>
      </c>
      <c r="K72" s="46"/>
      <c r="L72" s="46"/>
      <c r="M72" s="46"/>
      <c r="N72" s="46"/>
      <c r="O72" s="46"/>
      <c r="P72" s="64"/>
      <c r="CP72" s="44"/>
      <c r="CQ72" s="44"/>
      <c r="CR72" s="44"/>
      <c r="CS72" s="44"/>
      <c r="CT72" s="44"/>
      <c r="CU72" s="44"/>
      <c r="CV72" s="44"/>
      <c r="CW72" s="44"/>
      <c r="CX72" s="44"/>
      <c r="CY72" s="44"/>
    </row>
    <row r="73" spans="1:103" ht="15" customHeight="1" x14ac:dyDescent="0.35">
      <c r="A73" s="45" t="s">
        <v>121</v>
      </c>
      <c r="B73" s="46" t="s">
        <v>73</v>
      </c>
      <c r="C73" s="74" t="s">
        <v>121</v>
      </c>
      <c r="D73" s="74"/>
      <c r="E73" s="46"/>
      <c r="F73" s="3" t="str">
        <f>HYPERLINK("https://youtube.com/presidentkg","https://youtube.com/presidentkg")</f>
        <v>https://youtube.com/presidentkg</v>
      </c>
      <c r="G73" s="4"/>
      <c r="H73" s="46"/>
      <c r="I73" s="46"/>
      <c r="J73" s="46"/>
      <c r="K73" s="46"/>
      <c r="L73" s="46"/>
      <c r="M73" s="46"/>
      <c r="N73" s="46"/>
      <c r="O73" s="46"/>
      <c r="P73" s="64"/>
      <c r="CP73" s="44"/>
      <c r="CQ73" s="44"/>
      <c r="CR73" s="44"/>
      <c r="CS73" s="44"/>
      <c r="CT73" s="44"/>
      <c r="CU73" s="44"/>
      <c r="CV73" s="44"/>
      <c r="CW73" s="44"/>
      <c r="CX73" s="44"/>
      <c r="CY73" s="44"/>
    </row>
    <row r="74" spans="1:103" ht="15" customHeight="1" x14ac:dyDescent="0.35">
      <c r="A74" s="45" t="s">
        <v>122</v>
      </c>
      <c r="B74" s="46" t="s">
        <v>73</v>
      </c>
      <c r="C74" s="74" t="s">
        <v>122</v>
      </c>
      <c r="D74" s="74"/>
      <c r="E74" s="8" t="s">
        <v>123</v>
      </c>
      <c r="F74" s="46"/>
      <c r="G74" s="2"/>
      <c r="H74" s="46"/>
      <c r="I74" s="7" t="s">
        <v>444</v>
      </c>
      <c r="J74" s="46"/>
      <c r="K74" s="46"/>
      <c r="L74" s="46"/>
      <c r="M74" s="46"/>
      <c r="N74" s="46"/>
      <c r="O74" s="46"/>
      <c r="P74" s="64"/>
      <c r="CP74" s="44"/>
      <c r="CQ74" s="44"/>
      <c r="CR74" s="44"/>
      <c r="CS74" s="44"/>
      <c r="CT74" s="44"/>
      <c r="CU74" s="44"/>
      <c r="CV74" s="44"/>
      <c r="CW74" s="44"/>
      <c r="CX74" s="44"/>
      <c r="CY74" s="44"/>
    </row>
    <row r="75" spans="1:103" ht="15" customHeight="1" x14ac:dyDescent="0.35">
      <c r="A75" s="45" t="s">
        <v>124</v>
      </c>
      <c r="B75" s="46" t="s">
        <v>73</v>
      </c>
      <c r="C75" s="74" t="s">
        <v>124</v>
      </c>
      <c r="D75" s="74"/>
      <c r="E75" s="46"/>
      <c r="F75" s="46"/>
      <c r="G75" s="3" t="str">
        <f>HYPERLINK("https://youtube.com/NajibRazak","https://youtube.com/NajibRazak")</f>
        <v>https://youtube.com/NajibRazak</v>
      </c>
      <c r="H75" s="3" t="str">
        <f>HYPERLINK("https://youtube.com/PejabatPM","https://youtube.com/PejabatPM")</f>
        <v>https://youtube.com/PejabatPM</v>
      </c>
      <c r="I75" s="46"/>
      <c r="J75" s="4" t="s">
        <v>445</v>
      </c>
      <c r="K75" s="46"/>
      <c r="L75" s="46"/>
      <c r="M75" s="46"/>
      <c r="N75" s="46"/>
      <c r="O75" s="46"/>
      <c r="P75" s="64"/>
      <c r="CP75" s="44"/>
      <c r="CQ75" s="44"/>
      <c r="CR75" s="44"/>
      <c r="CS75" s="44"/>
      <c r="CT75" s="44"/>
      <c r="CU75" s="44"/>
      <c r="CV75" s="44"/>
      <c r="CW75" s="44"/>
      <c r="CX75" s="44"/>
      <c r="CY75" s="44"/>
    </row>
    <row r="76" spans="1:103" ht="15" customHeight="1" x14ac:dyDescent="0.35">
      <c r="A76" s="45" t="s">
        <v>126</v>
      </c>
      <c r="B76" s="46" t="s">
        <v>73</v>
      </c>
      <c r="C76" s="74" t="s">
        <v>126</v>
      </c>
      <c r="D76" s="74"/>
      <c r="E76" s="1"/>
      <c r="F76" s="3" t="str">
        <f>HYPERLINK("https://youtube.com/presidencymv","https://youtube.com/presidencymv")</f>
        <v>https://youtube.com/presidencymv</v>
      </c>
      <c r="G76" s="46"/>
      <c r="H76" s="46"/>
      <c r="I76" s="46"/>
      <c r="J76" s="46"/>
      <c r="K76" s="46"/>
      <c r="L76" s="46"/>
      <c r="M76" s="46"/>
      <c r="N76" s="46"/>
      <c r="O76" s="46"/>
      <c r="P76" s="64"/>
      <c r="CP76" s="44"/>
      <c r="CQ76" s="44"/>
      <c r="CR76" s="44"/>
      <c r="CS76" s="44"/>
      <c r="CT76" s="44"/>
      <c r="CU76" s="44"/>
      <c r="CV76" s="44"/>
      <c r="CW76" s="44"/>
      <c r="CX76" s="44"/>
      <c r="CY76" s="44"/>
    </row>
    <row r="77" spans="1:103" ht="15" customHeight="1" x14ac:dyDescent="0.35">
      <c r="A77" s="45" t="s">
        <v>129</v>
      </c>
      <c r="B77" s="46" t="s">
        <v>73</v>
      </c>
      <c r="C77" s="74" t="s">
        <v>129</v>
      </c>
      <c r="D77" s="74"/>
      <c r="E77" s="3" t="str">
        <f>HYPERLINK("https://youtube.com/presidentElbegdorj","https://youtube.com/presidentElbegdorj")</f>
        <v>https://youtube.com/presidentElbegdorj</v>
      </c>
      <c r="F77" s="46"/>
      <c r="G77" s="46"/>
      <c r="H77" s="3" t="str">
        <f>HYPERLINK("https://youtube.com/TheZasag","https://youtube.com/TheZasag")</f>
        <v>https://youtube.com/TheZasag</v>
      </c>
      <c r="I77" s="8" t="s">
        <v>131</v>
      </c>
      <c r="J77" s="46"/>
      <c r="K77" s="46"/>
      <c r="L77" s="46"/>
      <c r="M77" s="46"/>
      <c r="N77" s="46"/>
      <c r="O77" s="46"/>
      <c r="P77" s="64"/>
      <c r="CP77" s="44"/>
      <c r="CQ77" s="44"/>
      <c r="CR77" s="44"/>
      <c r="CS77" s="44"/>
      <c r="CT77" s="44"/>
      <c r="CU77" s="44"/>
      <c r="CV77" s="44"/>
      <c r="CW77" s="44"/>
      <c r="CX77" s="44"/>
      <c r="CY77" s="44"/>
    </row>
    <row r="78" spans="1:103" ht="15" customHeight="1" x14ac:dyDescent="0.35">
      <c r="A78" s="45" t="s">
        <v>132</v>
      </c>
      <c r="B78" s="46" t="s">
        <v>73</v>
      </c>
      <c r="C78" s="74" t="s">
        <v>132</v>
      </c>
      <c r="D78" s="74"/>
      <c r="E78" s="4"/>
      <c r="F78" s="46"/>
      <c r="G78" s="46" t="s">
        <v>701</v>
      </c>
      <c r="H78" s="46"/>
      <c r="I78" s="46"/>
      <c r="J78" s="46"/>
      <c r="K78" s="46"/>
      <c r="L78" s="46"/>
      <c r="M78" s="46"/>
      <c r="N78" s="46"/>
      <c r="O78" s="46"/>
      <c r="P78" s="64"/>
      <c r="CP78" s="44"/>
      <c r="CQ78" s="44"/>
      <c r="CR78" s="44"/>
      <c r="CS78" s="44"/>
      <c r="CT78" s="44"/>
      <c r="CU78" s="44"/>
      <c r="CV78" s="44"/>
      <c r="CW78" s="44"/>
      <c r="CX78" s="44"/>
      <c r="CY78" s="44"/>
    </row>
    <row r="79" spans="1:103" ht="15" customHeight="1" x14ac:dyDescent="0.35">
      <c r="A79" s="45" t="s">
        <v>133</v>
      </c>
      <c r="B79" s="46" t="s">
        <v>73</v>
      </c>
      <c r="C79" s="74" t="s">
        <v>133</v>
      </c>
      <c r="D79" s="74"/>
      <c r="E79" s="46"/>
      <c r="F79" s="46"/>
      <c r="G79" s="8" t="s">
        <v>134</v>
      </c>
      <c r="H79" s="46"/>
      <c r="I79" s="46"/>
      <c r="J79" s="46"/>
      <c r="K79" s="46"/>
      <c r="L79" s="46"/>
      <c r="M79" s="46"/>
      <c r="N79" s="46"/>
      <c r="O79" s="46"/>
      <c r="P79" s="64"/>
      <c r="CP79" s="44"/>
      <c r="CQ79" s="44"/>
      <c r="CR79" s="44"/>
      <c r="CS79" s="44"/>
      <c r="CT79" s="44"/>
      <c r="CU79" s="44"/>
      <c r="CV79" s="44"/>
      <c r="CW79" s="44"/>
      <c r="CX79" s="44"/>
      <c r="CY79" s="44"/>
    </row>
    <row r="80" spans="1:103" ht="15" customHeight="1" x14ac:dyDescent="0.35">
      <c r="A80" s="45" t="s">
        <v>135</v>
      </c>
      <c r="B80" s="46" t="s">
        <v>73</v>
      </c>
      <c r="C80" s="74" t="s">
        <v>135</v>
      </c>
      <c r="D80" s="74"/>
      <c r="E80" s="3"/>
      <c r="F80" s="46"/>
      <c r="G80" s="4"/>
      <c r="H80" s="46"/>
      <c r="I80" s="46"/>
      <c r="J80" s="7" t="s">
        <v>446</v>
      </c>
      <c r="K80" s="46"/>
      <c r="L80" s="46"/>
      <c r="M80" s="46"/>
      <c r="N80" s="46"/>
      <c r="O80" s="46"/>
      <c r="P80" s="64"/>
      <c r="CP80" s="44"/>
      <c r="CQ80" s="44"/>
      <c r="CR80" s="44"/>
      <c r="CS80" s="44"/>
      <c r="CT80" s="44"/>
      <c r="CU80" s="44"/>
      <c r="CV80" s="44"/>
      <c r="CW80" s="44"/>
      <c r="CX80" s="44"/>
      <c r="CY80" s="44"/>
    </row>
    <row r="81" spans="1:103" ht="15" customHeight="1" x14ac:dyDescent="0.35">
      <c r="A81" s="45" t="s">
        <v>139</v>
      </c>
      <c r="B81" s="46" t="s">
        <v>73</v>
      </c>
      <c r="C81" s="74" t="s">
        <v>139</v>
      </c>
      <c r="D81" s="74"/>
      <c r="E81" s="3" t="str">
        <f>HYPERLINK("https://youtube.com/NoyTV","https://youtube.com/NoyTV")</f>
        <v>https://youtube.com/NoyTV</v>
      </c>
      <c r="F81" s="3" t="str">
        <f>HYPERLINK("https://youtube.com/RTVMalacanang","https://youtube.com/RTVMalacanang")</f>
        <v>https://youtube.com/RTVMalacanang</v>
      </c>
      <c r="G81" s="46"/>
      <c r="H81" s="7" t="s">
        <v>140</v>
      </c>
      <c r="I81" s="46"/>
      <c r="J81" s="46"/>
      <c r="K81" s="46"/>
      <c r="L81" s="46"/>
      <c r="M81" s="46"/>
      <c r="N81" s="3" t="str">
        <f>HYPERLINK("https://youtube.com/edp20111","https://youtube.com/edp20111")</f>
        <v>https://youtube.com/edp20111</v>
      </c>
      <c r="O81" s="46"/>
      <c r="P81" s="64"/>
      <c r="CP81" s="44"/>
      <c r="CQ81" s="44"/>
      <c r="CR81" s="44"/>
      <c r="CS81" s="44"/>
      <c r="CT81" s="44"/>
      <c r="CU81" s="44"/>
      <c r="CV81" s="44"/>
      <c r="CW81" s="44"/>
      <c r="CX81" s="44"/>
      <c r="CY81" s="44"/>
    </row>
    <row r="82" spans="1:103" ht="15" customHeight="1" x14ac:dyDescent="0.35">
      <c r="A82" s="45" t="s">
        <v>141</v>
      </c>
      <c r="B82" s="46" t="s">
        <v>73</v>
      </c>
      <c r="C82" s="74" t="s">
        <v>141</v>
      </c>
      <c r="D82" s="74"/>
      <c r="E82" s="46"/>
      <c r="F82" s="46"/>
      <c r="G82" s="46"/>
      <c r="H82" s="18" t="s">
        <v>142</v>
      </c>
      <c r="I82" s="46"/>
      <c r="J82" s="46"/>
      <c r="K82" s="46"/>
      <c r="L82" s="46"/>
      <c r="M82" s="46"/>
      <c r="N82" s="46"/>
      <c r="O82" s="46"/>
      <c r="P82" s="64"/>
      <c r="CP82" s="44"/>
      <c r="CQ82" s="44"/>
      <c r="CR82" s="44"/>
      <c r="CS82" s="44"/>
      <c r="CT82" s="44"/>
      <c r="CU82" s="44"/>
      <c r="CV82" s="44"/>
      <c r="CW82" s="44"/>
      <c r="CX82" s="44"/>
      <c r="CY82" s="44"/>
    </row>
    <row r="83" spans="1:103" ht="15" customHeight="1" x14ac:dyDescent="0.35">
      <c r="A83" s="45" t="s">
        <v>143</v>
      </c>
      <c r="B83" s="46" t="s">
        <v>73</v>
      </c>
      <c r="C83" s="74" t="s">
        <v>143</v>
      </c>
      <c r="D83" s="74"/>
      <c r="E83" s="46"/>
      <c r="F83" s="46"/>
      <c r="G83" s="46"/>
      <c r="H83" s="7" t="s">
        <v>144</v>
      </c>
      <c r="I83" s="46"/>
      <c r="J83" s="7" t="s">
        <v>145</v>
      </c>
      <c r="K83" s="46"/>
      <c r="L83" s="46"/>
      <c r="M83" s="46"/>
      <c r="N83" s="46"/>
      <c r="O83" s="46"/>
      <c r="P83" s="64"/>
      <c r="CP83" s="44"/>
      <c r="CQ83" s="44"/>
      <c r="CR83" s="44"/>
      <c r="CS83" s="44"/>
      <c r="CT83" s="44"/>
      <c r="CU83" s="44"/>
      <c r="CV83" s="44"/>
      <c r="CW83" s="44"/>
      <c r="CX83" s="44"/>
      <c r="CY83" s="44"/>
    </row>
    <row r="84" spans="1:103" ht="15" customHeight="1" x14ac:dyDescent="0.35">
      <c r="A84" s="45" t="s">
        <v>146</v>
      </c>
      <c r="B84" s="46" t="s">
        <v>73</v>
      </c>
      <c r="C84" s="74" t="s">
        <v>146</v>
      </c>
      <c r="D84" s="74"/>
      <c r="E84" s="46"/>
      <c r="F84" s="46"/>
      <c r="G84" s="19" t="s">
        <v>448</v>
      </c>
      <c r="H84" s="3" t="str">
        <f>HYPERLINK("https://youtube.com/govsingapore","https://youtube.com/govsingapore")</f>
        <v>https://youtube.com/govsingapore</v>
      </c>
      <c r="I84" s="46"/>
      <c r="J84" s="46"/>
      <c r="K84" s="46"/>
      <c r="L84" s="46"/>
      <c r="M84" s="46"/>
      <c r="N84" s="46"/>
      <c r="O84" s="46"/>
      <c r="P84" s="64"/>
      <c r="CP84" s="44"/>
      <c r="CQ84" s="44"/>
      <c r="CR84" s="44"/>
      <c r="CS84" s="44"/>
      <c r="CT84" s="44"/>
      <c r="CU84" s="44"/>
      <c r="CV84" s="44"/>
      <c r="CW84" s="44"/>
      <c r="CX84" s="44"/>
      <c r="CY84" s="44"/>
    </row>
    <row r="85" spans="1:103" ht="15" customHeight="1" x14ac:dyDescent="0.35">
      <c r="A85" s="45" t="s">
        <v>147</v>
      </c>
      <c r="B85" s="46" t="s">
        <v>73</v>
      </c>
      <c r="C85" s="74" t="s">
        <v>147</v>
      </c>
      <c r="D85" s="74"/>
      <c r="E85" s="46"/>
      <c r="F85" s="3" t="str">
        <f>HYPERLINK("https://youtube.com/cheongwadaetv","https://youtube.com/cheongwadaetv")</f>
        <v>https://youtube.com/cheongwadaetv</v>
      </c>
      <c r="G85" s="46"/>
      <c r="H85" s="3" t="str">
        <f>HYPERLINK("https://youtube.com/primeministerkr","https://youtube.com/primeministerkr")</f>
        <v>https://youtube.com/primeministerkr</v>
      </c>
      <c r="I85" s="46"/>
      <c r="J85" s="46"/>
      <c r="K85" s="46"/>
      <c r="L85" s="46"/>
      <c r="M85" s="46"/>
      <c r="N85" s="46"/>
      <c r="O85" s="46"/>
      <c r="P85" s="64"/>
      <c r="CP85" s="44"/>
      <c r="CQ85" s="44"/>
      <c r="CR85" s="44"/>
      <c r="CS85" s="44"/>
      <c r="CT85" s="44"/>
      <c r="CU85" s="44"/>
      <c r="CV85" s="44"/>
      <c r="CW85" s="44"/>
      <c r="CX85" s="44"/>
      <c r="CY85" s="44"/>
    </row>
    <row r="86" spans="1:103" ht="15" customHeight="1" x14ac:dyDescent="0.35">
      <c r="A86" s="45" t="s">
        <v>148</v>
      </c>
      <c r="B86" s="46" t="s">
        <v>73</v>
      </c>
      <c r="C86" s="74" t="s">
        <v>148</v>
      </c>
      <c r="D86" s="74"/>
      <c r="E86" s="7" t="s">
        <v>625</v>
      </c>
      <c r="F86" s="4"/>
      <c r="G86" s="46"/>
      <c r="H86" s="46"/>
      <c r="I86" s="46"/>
      <c r="J86" s="3" t="str">
        <f>HYPERLINK("https://youtube.com/SLMFA","https://youtube.com/SLMFA")</f>
        <v>https://youtube.com/SLMFA</v>
      </c>
      <c r="K86" s="46"/>
      <c r="L86" s="46"/>
      <c r="M86" s="46"/>
      <c r="N86" s="46"/>
      <c r="O86" s="46"/>
      <c r="P86" s="64"/>
      <c r="CP86" s="44"/>
      <c r="CQ86" s="44"/>
      <c r="CR86" s="44"/>
      <c r="CS86" s="44"/>
      <c r="CT86" s="44"/>
      <c r="CU86" s="44"/>
      <c r="CV86" s="44"/>
      <c r="CW86" s="44"/>
      <c r="CX86" s="44"/>
      <c r="CY86" s="44"/>
    </row>
    <row r="87" spans="1:103" ht="15" customHeight="1" x14ac:dyDescent="0.35">
      <c r="A87" s="45" t="s">
        <v>149</v>
      </c>
      <c r="B87" s="46" t="s">
        <v>73</v>
      </c>
      <c r="C87" s="74" t="s">
        <v>149</v>
      </c>
      <c r="D87" s="74"/>
      <c r="E87" s="4"/>
      <c r="F87" s="7" t="s">
        <v>449</v>
      </c>
      <c r="G87" s="46"/>
      <c r="H87" s="46"/>
      <c r="I87" s="46"/>
      <c r="J87" s="46"/>
      <c r="K87" s="46"/>
      <c r="L87" s="46"/>
      <c r="M87" s="46"/>
      <c r="N87" s="46"/>
      <c r="O87" s="46"/>
      <c r="P87" s="64"/>
      <c r="CP87" s="44"/>
      <c r="CQ87" s="44"/>
      <c r="CR87" s="44"/>
      <c r="CS87" s="44"/>
      <c r="CT87" s="44"/>
      <c r="CU87" s="44"/>
      <c r="CV87" s="44"/>
      <c r="CW87" s="44"/>
      <c r="CX87" s="44"/>
      <c r="CY87" s="44"/>
    </row>
    <row r="88" spans="1:103" ht="15" customHeight="1" x14ac:dyDescent="0.35">
      <c r="A88" s="45" t="s">
        <v>150</v>
      </c>
      <c r="B88" s="46" t="s">
        <v>73</v>
      </c>
      <c r="C88" s="74" t="s">
        <v>150</v>
      </c>
      <c r="D88" s="74"/>
      <c r="F88" s="2" t="s">
        <v>450</v>
      </c>
      <c r="H88" s="46"/>
      <c r="I88" s="46"/>
      <c r="J88" s="46"/>
      <c r="K88" s="8" t="s">
        <v>151</v>
      </c>
      <c r="L88" s="46"/>
      <c r="M88" s="46"/>
      <c r="N88" s="46"/>
      <c r="O88" s="46"/>
      <c r="P88" s="64"/>
      <c r="CP88" s="44"/>
      <c r="CQ88" s="44"/>
      <c r="CR88" s="44"/>
      <c r="CS88" s="44"/>
      <c r="CT88" s="44"/>
      <c r="CU88" s="44"/>
      <c r="CV88" s="44"/>
      <c r="CW88" s="44"/>
      <c r="CX88" s="44"/>
      <c r="CY88" s="44"/>
    </row>
    <row r="89" spans="1:103" ht="15" customHeight="1" x14ac:dyDescent="0.35">
      <c r="A89" s="45" t="s">
        <v>152</v>
      </c>
      <c r="B89" s="46" t="s">
        <v>73</v>
      </c>
      <c r="C89" s="74" t="s">
        <v>152</v>
      </c>
      <c r="D89" s="74"/>
      <c r="E89" s="2"/>
      <c r="F89" s="46"/>
      <c r="G89" s="46"/>
      <c r="H89" s="8" t="s">
        <v>153</v>
      </c>
      <c r="I89" s="46"/>
      <c r="J89" s="46"/>
      <c r="K89" s="46"/>
      <c r="L89" s="46"/>
      <c r="M89" s="46"/>
      <c r="N89" s="46"/>
      <c r="O89" s="46"/>
      <c r="P89" s="64"/>
      <c r="CP89" s="44"/>
      <c r="CQ89" s="44"/>
      <c r="CR89" s="44"/>
      <c r="CS89" s="44"/>
      <c r="CT89" s="44"/>
      <c r="CU89" s="44"/>
      <c r="CV89" s="44"/>
      <c r="CW89" s="44"/>
      <c r="CX89" s="44"/>
      <c r="CY89" s="44"/>
    </row>
    <row r="90" spans="1:103" ht="15" customHeight="1" x14ac:dyDescent="0.35">
      <c r="A90" s="45" t="s">
        <v>154</v>
      </c>
      <c r="B90" s="46" t="s">
        <v>73</v>
      </c>
      <c r="C90" s="74" t="s">
        <v>154</v>
      </c>
      <c r="D90" s="74"/>
      <c r="E90" s="7" t="s">
        <v>451</v>
      </c>
      <c r="F90" s="46"/>
      <c r="G90" s="3" t="str">
        <f>HYPERLINK("https://youtube.com/HHSMohammedBinRashid","https://youtube.com/HHSMohammedBinRashid")</f>
        <v>https://youtube.com/HHSMohammedBinRashid</v>
      </c>
      <c r="H90" s="4" t="s">
        <v>452</v>
      </c>
      <c r="I90" s="8" t="s">
        <v>155</v>
      </c>
      <c r="J90" s="3" t="str">
        <f>HYPERLINK("https://youtube.com/MOFAUAE","https://youtube.com/MOFAUAE")</f>
        <v>https://youtube.com/MOFAUAE</v>
      </c>
      <c r="K90" s="46"/>
      <c r="L90" s="46"/>
      <c r="M90" s="46"/>
      <c r="N90" s="46"/>
      <c r="O90" s="46"/>
      <c r="P90" s="64"/>
      <c r="CP90" s="44"/>
      <c r="CQ90" s="44"/>
      <c r="CR90" s="44"/>
      <c r="CS90" s="44"/>
      <c r="CT90" s="44"/>
      <c r="CU90" s="44"/>
      <c r="CV90" s="44"/>
      <c r="CW90" s="44"/>
      <c r="CX90" s="44"/>
      <c r="CY90" s="44"/>
    </row>
    <row r="91" spans="1:103" ht="15" customHeight="1" thickBot="1" x14ac:dyDescent="0.4">
      <c r="A91" s="57" t="s">
        <v>158</v>
      </c>
      <c r="B91" s="58" t="s">
        <v>73</v>
      </c>
      <c r="C91" s="173" t="s">
        <v>158</v>
      </c>
      <c r="D91" s="173"/>
      <c r="E91" s="58"/>
      <c r="F91" s="58"/>
      <c r="G91" s="178" t="s">
        <v>159</v>
      </c>
      <c r="H91" s="58"/>
      <c r="I91" s="58"/>
      <c r="J91" s="58"/>
      <c r="K91" s="58"/>
      <c r="L91" s="58"/>
      <c r="M91" s="58"/>
      <c r="N91" s="58"/>
      <c r="O91" s="58"/>
      <c r="P91" s="59"/>
      <c r="CP91" s="44"/>
      <c r="CQ91" s="44"/>
      <c r="CR91" s="44"/>
      <c r="CS91" s="44"/>
      <c r="CT91" s="44"/>
      <c r="CU91" s="44"/>
      <c r="CV91" s="44"/>
      <c r="CW91" s="44"/>
      <c r="CX91" s="44"/>
      <c r="CY91" s="44"/>
    </row>
    <row r="92" spans="1:103" ht="15" customHeight="1" x14ac:dyDescent="0.35">
      <c r="A92" s="42" t="s">
        <v>661</v>
      </c>
      <c r="B92" s="43" t="s">
        <v>73</v>
      </c>
      <c r="C92" s="165"/>
      <c r="D92" s="165" t="s">
        <v>661</v>
      </c>
      <c r="E92" s="43"/>
      <c r="F92" s="43"/>
      <c r="G92" s="43"/>
      <c r="H92" s="43"/>
      <c r="I92" s="43"/>
      <c r="J92" s="43"/>
      <c r="K92" s="43"/>
      <c r="L92" s="43"/>
      <c r="M92" s="43"/>
      <c r="N92" s="43"/>
      <c r="O92" s="43"/>
      <c r="P92" s="56"/>
      <c r="CP92" s="44"/>
      <c r="CQ92" s="44"/>
      <c r="CR92" s="44"/>
      <c r="CS92" s="44"/>
      <c r="CT92" s="44"/>
      <c r="CU92" s="44"/>
      <c r="CV92" s="44"/>
      <c r="CW92" s="44"/>
      <c r="CX92" s="44"/>
      <c r="CY92" s="44"/>
    </row>
    <row r="93" spans="1:103" ht="15" customHeight="1" x14ac:dyDescent="0.35">
      <c r="A93" s="45" t="s">
        <v>93</v>
      </c>
      <c r="B93" s="46" t="s">
        <v>73</v>
      </c>
      <c r="C93" s="74"/>
      <c r="D93" s="74" t="s">
        <v>93</v>
      </c>
      <c r="E93" s="46"/>
      <c r="F93" s="46"/>
      <c r="G93" s="46"/>
      <c r="H93" s="46"/>
      <c r="I93" s="46"/>
      <c r="J93" s="46"/>
      <c r="K93" s="46"/>
      <c r="L93" s="46"/>
      <c r="M93" s="46"/>
      <c r="N93" s="46"/>
      <c r="O93" s="46"/>
      <c r="P93" s="64"/>
      <c r="CP93" s="44"/>
      <c r="CQ93" s="44"/>
      <c r="CR93" s="44"/>
      <c r="CS93" s="44"/>
      <c r="CT93" s="44"/>
      <c r="CU93" s="44"/>
      <c r="CV93" s="44"/>
      <c r="CW93" s="44"/>
      <c r="CX93" s="44"/>
      <c r="CY93" s="44"/>
    </row>
    <row r="94" spans="1:103" ht="15" customHeight="1" x14ac:dyDescent="0.35">
      <c r="A94" s="45" t="s">
        <v>660</v>
      </c>
      <c r="B94" s="46" t="s">
        <v>73</v>
      </c>
      <c r="C94" s="74"/>
      <c r="D94" s="74" t="s">
        <v>660</v>
      </c>
      <c r="E94" s="46"/>
      <c r="F94" s="46"/>
      <c r="G94" s="46"/>
      <c r="H94" s="46"/>
      <c r="I94" s="46"/>
      <c r="J94" s="46"/>
      <c r="K94" s="46"/>
      <c r="L94" s="46"/>
      <c r="M94" s="46"/>
      <c r="N94" s="46"/>
      <c r="O94" s="46"/>
      <c r="P94" s="64"/>
      <c r="CP94" s="44"/>
      <c r="CQ94" s="44"/>
      <c r="CR94" s="44"/>
      <c r="CS94" s="44"/>
      <c r="CT94" s="44"/>
      <c r="CU94" s="44"/>
      <c r="CV94" s="44"/>
      <c r="CW94" s="44"/>
      <c r="CX94" s="44"/>
      <c r="CY94" s="44"/>
    </row>
    <row r="95" spans="1:103" ht="15" customHeight="1" x14ac:dyDescent="0.35">
      <c r="A95" s="45" t="s">
        <v>128</v>
      </c>
      <c r="B95" s="46" t="s">
        <v>73</v>
      </c>
      <c r="C95" s="74"/>
      <c r="D95" s="74" t="s">
        <v>128</v>
      </c>
      <c r="E95" s="2"/>
      <c r="F95" s="46"/>
      <c r="G95" s="46"/>
      <c r="H95" s="46"/>
      <c r="I95" s="46"/>
      <c r="J95" s="46"/>
      <c r="K95" s="46"/>
      <c r="L95" s="46"/>
      <c r="M95" s="46"/>
      <c r="N95" s="46"/>
      <c r="O95" s="46"/>
      <c r="P95" s="64"/>
      <c r="CP95" s="44"/>
      <c r="CQ95" s="44"/>
      <c r="CR95" s="44"/>
      <c r="CS95" s="44"/>
      <c r="CT95" s="44"/>
      <c r="CU95" s="44"/>
      <c r="CV95" s="44"/>
      <c r="CW95" s="44"/>
      <c r="CX95" s="44"/>
      <c r="CY95" s="44"/>
    </row>
    <row r="96" spans="1:103" ht="15" customHeight="1" x14ac:dyDescent="0.35">
      <c r="A96" s="45" t="s">
        <v>662</v>
      </c>
      <c r="B96" s="46" t="s">
        <v>73</v>
      </c>
      <c r="C96" s="74"/>
      <c r="D96" s="74" t="s">
        <v>662</v>
      </c>
      <c r="E96" s="4"/>
      <c r="F96" s="46"/>
      <c r="G96" s="4"/>
      <c r="H96" s="46"/>
      <c r="I96" s="46"/>
      <c r="J96" s="46"/>
      <c r="K96" s="46"/>
      <c r="L96" s="46"/>
      <c r="M96" s="46"/>
      <c r="N96" s="46"/>
      <c r="O96" s="46"/>
      <c r="P96" s="64"/>
      <c r="CP96" s="44"/>
      <c r="CQ96" s="44"/>
      <c r="CR96" s="44"/>
      <c r="CS96" s="44"/>
      <c r="CT96" s="44"/>
      <c r="CU96" s="44"/>
      <c r="CV96" s="44"/>
      <c r="CW96" s="44"/>
      <c r="CX96" s="44"/>
      <c r="CY96" s="44"/>
    </row>
    <row r="97" spans="1:103" ht="15" customHeight="1" x14ac:dyDescent="0.35">
      <c r="A97" s="45" t="s">
        <v>136</v>
      </c>
      <c r="B97" s="46" t="s">
        <v>73</v>
      </c>
      <c r="C97" s="74"/>
      <c r="D97" s="74" t="s">
        <v>136</v>
      </c>
      <c r="E97" s="46"/>
      <c r="F97" s="46"/>
      <c r="G97" s="4"/>
      <c r="H97" s="46"/>
      <c r="I97" s="46"/>
      <c r="J97" s="46"/>
      <c r="K97" s="46"/>
      <c r="L97" s="46"/>
      <c r="M97" s="46"/>
      <c r="N97" s="46"/>
      <c r="O97" s="46"/>
      <c r="P97" s="64"/>
      <c r="CP97" s="44"/>
      <c r="CQ97" s="44"/>
      <c r="CR97" s="44"/>
      <c r="CS97" s="44"/>
      <c r="CT97" s="44"/>
      <c r="CU97" s="44"/>
      <c r="CV97" s="44"/>
      <c r="CW97" s="44"/>
      <c r="CX97" s="44"/>
      <c r="CY97" s="44"/>
    </row>
    <row r="98" spans="1:103" ht="15" customHeight="1" x14ac:dyDescent="0.35">
      <c r="A98" s="45" t="s">
        <v>138</v>
      </c>
      <c r="B98" s="46" t="s">
        <v>73</v>
      </c>
      <c r="C98" s="74"/>
      <c r="D98" s="74" t="s">
        <v>138</v>
      </c>
      <c r="E98" s="46"/>
      <c r="F98" s="46"/>
      <c r="G98" s="162"/>
      <c r="H98" s="46"/>
      <c r="I98" s="46"/>
      <c r="J98" s="46"/>
      <c r="K98" s="46"/>
      <c r="L98" s="46"/>
      <c r="M98" s="46"/>
      <c r="N98" s="46"/>
      <c r="O98" s="46"/>
      <c r="P98" s="64"/>
      <c r="CP98" s="44"/>
      <c r="CQ98" s="44"/>
      <c r="CR98" s="44"/>
      <c r="CS98" s="44"/>
      <c r="CT98" s="44"/>
      <c r="CU98" s="44"/>
      <c r="CV98" s="44"/>
      <c r="CW98" s="44"/>
      <c r="CX98" s="44"/>
      <c r="CY98" s="44"/>
    </row>
    <row r="99" spans="1:103" ht="15" customHeight="1" x14ac:dyDescent="0.35">
      <c r="A99" s="45" t="s">
        <v>663</v>
      </c>
      <c r="B99" s="46" t="s">
        <v>73</v>
      </c>
      <c r="C99" s="74"/>
      <c r="D99" s="74" t="s">
        <v>663</v>
      </c>
      <c r="E99" s="46"/>
      <c r="F99" s="46"/>
      <c r="G99" s="46"/>
      <c r="H99" s="46"/>
      <c r="I99" s="46"/>
      <c r="J99" s="46"/>
      <c r="K99" s="46"/>
      <c r="L99" s="46"/>
      <c r="M99" s="46"/>
      <c r="N99" s="46"/>
      <c r="O99" s="46"/>
      <c r="P99" s="64"/>
      <c r="CP99" s="44"/>
      <c r="CQ99" s="44"/>
      <c r="CR99" s="44"/>
      <c r="CS99" s="44"/>
      <c r="CT99" s="44"/>
      <c r="CU99" s="44"/>
      <c r="CV99" s="44"/>
      <c r="CW99" s="44"/>
      <c r="CX99" s="44"/>
      <c r="CY99" s="44"/>
    </row>
    <row r="100" spans="1:103" ht="15" customHeight="1" x14ac:dyDescent="0.35">
      <c r="A100" s="45" t="s">
        <v>156</v>
      </c>
      <c r="B100" s="46" t="s">
        <v>73</v>
      </c>
      <c r="C100" s="74"/>
      <c r="D100" s="74" t="s">
        <v>156</v>
      </c>
      <c r="E100" s="169"/>
      <c r="F100" s="46"/>
      <c r="G100" s="46"/>
      <c r="H100" s="46"/>
      <c r="I100" s="46"/>
      <c r="J100" s="46"/>
      <c r="K100" s="46"/>
      <c r="L100" s="46"/>
      <c r="M100" s="46"/>
      <c r="N100" s="46"/>
      <c r="O100" s="46"/>
      <c r="P100" s="64"/>
      <c r="CP100" s="44"/>
      <c r="CQ100" s="44"/>
      <c r="CR100" s="44"/>
      <c r="CS100" s="44"/>
      <c r="CT100" s="44"/>
      <c r="CU100" s="44"/>
      <c r="CV100" s="44"/>
      <c r="CW100" s="44"/>
      <c r="CX100" s="44"/>
      <c r="CY100" s="44"/>
    </row>
    <row r="101" spans="1:103" ht="15" customHeight="1" thickBot="1" x14ac:dyDescent="0.4">
      <c r="A101" s="57" t="s">
        <v>664</v>
      </c>
      <c r="B101" s="58" t="s">
        <v>73</v>
      </c>
      <c r="C101" s="173"/>
      <c r="D101" s="173" t="s">
        <v>157</v>
      </c>
      <c r="E101" s="58"/>
      <c r="F101" s="58"/>
      <c r="G101" s="58"/>
      <c r="H101" s="58"/>
      <c r="I101" s="58"/>
      <c r="J101" s="58"/>
      <c r="K101" s="58"/>
      <c r="L101" s="58"/>
      <c r="M101" s="58"/>
      <c r="N101" s="58"/>
      <c r="O101" s="58"/>
      <c r="P101" s="59"/>
      <c r="CP101" s="44"/>
      <c r="CQ101" s="44"/>
      <c r="CR101" s="44"/>
      <c r="CS101" s="44"/>
      <c r="CT101" s="44"/>
      <c r="CU101" s="44"/>
      <c r="CV101" s="44"/>
      <c r="CW101" s="44"/>
      <c r="CX101" s="44"/>
      <c r="CY101" s="44"/>
    </row>
    <row r="102" spans="1:103" ht="15" customHeight="1" x14ac:dyDescent="0.35">
      <c r="A102" s="42" t="s">
        <v>161</v>
      </c>
      <c r="B102" s="43" t="s">
        <v>160</v>
      </c>
      <c r="C102" s="165" t="s">
        <v>161</v>
      </c>
      <c r="D102" s="165"/>
      <c r="E102" s="161"/>
      <c r="F102" s="43"/>
      <c r="G102" s="43"/>
      <c r="H102" s="43"/>
      <c r="I102" s="43"/>
      <c r="J102" s="50" t="str">
        <f>HYPERLINK("https://youtube.com/channel/UCDDn9tvI20lElkuITgnbkqg","https://youtube.com/channel/UCDDn9tvI20lElkuITgnbkqg")</f>
        <v>https://youtube.com/channel/UCDDn9tvI20lElkuITgnbkqg</v>
      </c>
      <c r="K102" s="43"/>
      <c r="L102" s="43"/>
      <c r="M102" s="43"/>
      <c r="N102" s="43"/>
      <c r="O102" s="43"/>
      <c r="P102" s="56"/>
      <c r="CP102" s="44"/>
      <c r="CQ102" s="44"/>
      <c r="CR102" s="44"/>
      <c r="CS102" s="44"/>
      <c r="CT102" s="44"/>
      <c r="CU102" s="44"/>
      <c r="CV102" s="44"/>
      <c r="CW102" s="44"/>
      <c r="CX102" s="44"/>
      <c r="CY102" s="44"/>
    </row>
    <row r="103" spans="1:103" ht="15" customHeight="1" x14ac:dyDescent="0.35">
      <c r="A103" s="45" t="s">
        <v>162</v>
      </c>
      <c r="B103" s="46" t="s">
        <v>160</v>
      </c>
      <c r="C103" s="74" t="s">
        <v>162</v>
      </c>
      <c r="D103" s="74"/>
      <c r="E103" s="46"/>
      <c r="F103" s="46"/>
      <c r="G103" s="46"/>
      <c r="H103" s="3" t="str">
        <f>HYPERLINK("https://youtube.com/GovernAndorra","https://youtube.com/GovernAndorra")</f>
        <v>https://youtube.com/GovernAndorra</v>
      </c>
      <c r="I103" s="46"/>
      <c r="J103" s="46"/>
      <c r="K103" s="46"/>
      <c r="L103" s="46"/>
      <c r="M103" s="46"/>
      <c r="N103" s="46"/>
      <c r="O103" s="46"/>
      <c r="P103" s="64"/>
      <c r="CP103" s="44"/>
      <c r="CQ103" s="44"/>
      <c r="CR103" s="44"/>
      <c r="CS103" s="44"/>
      <c r="CT103" s="44"/>
      <c r="CU103" s="44"/>
      <c r="CV103" s="44"/>
      <c r="CW103" s="44"/>
      <c r="CX103" s="44"/>
      <c r="CY103" s="44"/>
    </row>
    <row r="104" spans="1:103" ht="15" customHeight="1" x14ac:dyDescent="0.35">
      <c r="A104" s="45" t="s">
        <v>164</v>
      </c>
      <c r="B104" s="46" t="s">
        <v>160</v>
      </c>
      <c r="C104" s="74" t="s">
        <v>164</v>
      </c>
      <c r="D104" s="74"/>
      <c r="E104" s="7" t="s">
        <v>165</v>
      </c>
      <c r="F104" s="46"/>
      <c r="G104" s="7" t="s">
        <v>167</v>
      </c>
      <c r="H104" s="3" t="str">
        <f>HYPERLINK("https://youtube.com/ihrbundeskanzleramt","https://youtube.com/ihrbundeskanzleramt")</f>
        <v>https://youtube.com/ihrbundeskanzleramt</v>
      </c>
      <c r="I104" s="46"/>
      <c r="J104" s="3" t="str">
        <f>HYPERLINK("https://youtube.com/Minoritenplatz8","https://youtube.com/Minoritenplatz8")</f>
        <v>https://youtube.com/Minoritenplatz8</v>
      </c>
      <c r="K104" s="46"/>
      <c r="L104" s="46"/>
      <c r="M104" s="46"/>
      <c r="N104" s="46"/>
      <c r="O104" s="46"/>
      <c r="P104" s="64"/>
      <c r="CP104" s="44"/>
      <c r="CQ104" s="44"/>
      <c r="CR104" s="44"/>
      <c r="CS104" s="44"/>
      <c r="CT104" s="44"/>
      <c r="CU104" s="44"/>
      <c r="CV104" s="44"/>
      <c r="CW104" s="44"/>
      <c r="CX104" s="44"/>
      <c r="CY104" s="44"/>
    </row>
    <row r="105" spans="1:103" ht="15" customHeight="1" x14ac:dyDescent="0.35">
      <c r="A105" s="45" t="s">
        <v>168</v>
      </c>
      <c r="B105" s="46" t="s">
        <v>160</v>
      </c>
      <c r="C105" s="74" t="s">
        <v>168</v>
      </c>
      <c r="D105" s="74"/>
      <c r="E105" s="46"/>
      <c r="F105" s="46"/>
      <c r="G105" s="46"/>
      <c r="H105" s="46"/>
      <c r="I105" s="46"/>
      <c r="J105" s="3" t="str">
        <f>HYPERLINK("https://youtube.com/BelarusMFA","https://youtube.com/BelarusMFA")</f>
        <v>https://youtube.com/BelarusMFA</v>
      </c>
      <c r="K105" s="46"/>
      <c r="L105" s="46"/>
      <c r="M105" s="46"/>
      <c r="N105" s="46"/>
      <c r="O105" s="46"/>
      <c r="P105" s="64"/>
      <c r="CP105" s="44"/>
      <c r="CQ105" s="44"/>
      <c r="CR105" s="44"/>
      <c r="CS105" s="44"/>
      <c r="CT105" s="44"/>
      <c r="CU105" s="44"/>
      <c r="CV105" s="44"/>
      <c r="CW105" s="44"/>
      <c r="CX105" s="44"/>
      <c r="CY105" s="44"/>
    </row>
    <row r="106" spans="1:103" ht="15" customHeight="1" x14ac:dyDescent="0.35">
      <c r="A106" s="45" t="s">
        <v>169</v>
      </c>
      <c r="B106" s="46" t="s">
        <v>160</v>
      </c>
      <c r="C106" s="74" t="s">
        <v>169</v>
      </c>
      <c r="D106" s="74"/>
      <c r="E106" s="46"/>
      <c r="F106" s="46"/>
      <c r="G106" s="46"/>
      <c r="H106" s="46"/>
      <c r="I106" s="93" t="s">
        <v>1196</v>
      </c>
      <c r="J106" s="3" t="str">
        <f>HYPERLINK("https://youtube.com/diplomatiebelgium/","https://youtube.com/diplomatiebelgium/")</f>
        <v>https://youtube.com/diplomatiebelgium/</v>
      </c>
      <c r="K106" s="46"/>
      <c r="L106" s="46"/>
      <c r="M106" s="46"/>
      <c r="N106" s="46"/>
      <c r="O106" s="46"/>
      <c r="P106" s="64"/>
      <c r="CP106" s="44"/>
      <c r="CQ106" s="44"/>
      <c r="CR106" s="44"/>
      <c r="CS106" s="44"/>
      <c r="CT106" s="44"/>
      <c r="CU106" s="44"/>
      <c r="CV106" s="44"/>
      <c r="CW106" s="44"/>
      <c r="CX106" s="44"/>
      <c r="CY106" s="44"/>
    </row>
    <row r="107" spans="1:103" ht="15" customHeight="1" x14ac:dyDescent="0.35">
      <c r="A107" s="45" t="s">
        <v>171</v>
      </c>
      <c r="B107" s="46" t="s">
        <v>160</v>
      </c>
      <c r="C107" s="74" t="s">
        <v>171</v>
      </c>
      <c r="D107" s="74"/>
      <c r="E107" s="46"/>
      <c r="F107" s="46"/>
      <c r="G107" s="18" t="s">
        <v>453</v>
      </c>
      <c r="H107" s="46"/>
      <c r="I107" s="46"/>
      <c r="J107" s="3" t="str">
        <f>HYPERLINK("https://youtube.com/channel/UCky1dYxODbzZmrnmvsY415A","https://youtube.com/channel/UCky1dYxODbzZmrnmvsY415A")</f>
        <v>https://youtube.com/channel/UCky1dYxODbzZmrnmvsY415A</v>
      </c>
      <c r="K107" s="46"/>
      <c r="L107" s="46"/>
      <c r="M107" s="46"/>
      <c r="N107" s="46"/>
      <c r="O107" s="46"/>
      <c r="P107" s="64"/>
      <c r="CP107" s="44"/>
      <c r="CQ107" s="44"/>
      <c r="CR107" s="44"/>
      <c r="CS107" s="44"/>
      <c r="CT107" s="44"/>
      <c r="CU107" s="44"/>
      <c r="CV107" s="44"/>
      <c r="CW107" s="44"/>
      <c r="CX107" s="44"/>
      <c r="CY107" s="44"/>
    </row>
    <row r="108" spans="1:103" ht="15" customHeight="1" x14ac:dyDescent="0.35">
      <c r="A108" s="45" t="s">
        <v>172</v>
      </c>
      <c r="B108" s="46" t="s">
        <v>160</v>
      </c>
      <c r="C108" s="74" t="s">
        <v>172</v>
      </c>
      <c r="D108" s="74"/>
      <c r="E108" s="46"/>
      <c r="F108" s="3"/>
      <c r="G108" s="2"/>
      <c r="H108" s="3" t="str">
        <f>HYPERLINK("https://youtube.com/wwwvladahr","https://youtube.com/wwwvladahr")</f>
        <v>https://youtube.com/wwwvladahr</v>
      </c>
      <c r="I108" s="46"/>
      <c r="J108" s="3" t="str">
        <f>HYPERLINK("https://youtube.com/mveprh","https://youtube.com/mveprh")</f>
        <v>https://youtube.com/mveprh</v>
      </c>
      <c r="K108" s="46"/>
      <c r="L108" s="46"/>
      <c r="M108" s="46"/>
      <c r="N108" s="46"/>
      <c r="O108" s="46"/>
      <c r="P108" s="64"/>
      <c r="CP108" s="44"/>
      <c r="CQ108" s="44"/>
      <c r="CR108" s="44"/>
      <c r="CS108" s="44"/>
      <c r="CT108" s="44"/>
      <c r="CU108" s="44"/>
      <c r="CV108" s="44"/>
      <c r="CW108" s="44"/>
      <c r="CX108" s="44"/>
      <c r="CY108" s="44"/>
    </row>
    <row r="109" spans="1:103" ht="15" customHeight="1" x14ac:dyDescent="0.35">
      <c r="A109" s="45" t="s">
        <v>176</v>
      </c>
      <c r="B109" s="46" t="s">
        <v>160</v>
      </c>
      <c r="C109" s="74" t="s">
        <v>176</v>
      </c>
      <c r="D109" s="74"/>
      <c r="E109" s="46"/>
      <c r="F109" s="46"/>
      <c r="G109" s="4"/>
      <c r="H109" s="46"/>
      <c r="I109" s="46"/>
      <c r="J109" s="3" t="str">
        <f>HYPERLINK("https://youtube.com/udenrigsministeriet","https://youtube.com/udenrigsministeriet")</f>
        <v>https://youtube.com/udenrigsministeriet</v>
      </c>
      <c r="K109" s="46"/>
      <c r="L109" s="46"/>
      <c r="M109" s="46"/>
      <c r="N109" s="46"/>
      <c r="O109" s="46"/>
      <c r="P109" s="64"/>
      <c r="CP109" s="44"/>
      <c r="CQ109" s="44"/>
      <c r="CR109" s="44"/>
      <c r="CS109" s="44"/>
      <c r="CT109" s="44"/>
      <c r="CU109" s="44"/>
      <c r="CV109" s="44"/>
      <c r="CW109" s="44"/>
      <c r="CX109" s="44"/>
      <c r="CY109" s="44"/>
    </row>
    <row r="110" spans="1:103" ht="15" customHeight="1" x14ac:dyDescent="0.35">
      <c r="A110" s="45" t="s">
        <v>177</v>
      </c>
      <c r="B110" s="46" t="s">
        <v>160</v>
      </c>
      <c r="C110" s="74" t="s">
        <v>177</v>
      </c>
      <c r="D110" s="74"/>
      <c r="E110" s="46"/>
      <c r="F110" s="3" t="str">
        <f>HYPERLINK("https://youtube.com/presidendikantselei","https://youtube.com/presidendikantselei")</f>
        <v>https://youtube.com/presidendikantselei</v>
      </c>
      <c r="G110" s="4"/>
      <c r="H110" s="3" t="str">
        <f>HYPERLINK("https://youtube.com/valitsuseuudised","https://youtube.com/valitsuseuudised")</f>
        <v>https://youtube.com/valitsuseuudised</v>
      </c>
      <c r="I110" s="46"/>
      <c r="J110" s="3" t="str">
        <f>HYPERLINK("https://youtube.com/estonianmfa","https://youtube.com/estonianmfa")</f>
        <v>https://youtube.com/estonianmfa</v>
      </c>
      <c r="K110" s="46"/>
      <c r="L110" s="46"/>
      <c r="M110" s="46"/>
      <c r="N110" s="46"/>
      <c r="O110" s="46"/>
      <c r="P110" s="64"/>
      <c r="CP110" s="44"/>
      <c r="CQ110" s="44"/>
      <c r="CR110" s="44"/>
      <c r="CS110" s="44"/>
      <c r="CT110" s="44"/>
      <c r="CU110" s="44"/>
      <c r="CV110" s="44"/>
      <c r="CW110" s="44"/>
      <c r="CX110" s="44"/>
      <c r="CY110" s="44"/>
    </row>
    <row r="111" spans="1:103" ht="15" customHeight="1" x14ac:dyDescent="0.35">
      <c r="A111" s="45" t="s">
        <v>665</v>
      </c>
      <c r="B111" s="46" t="s">
        <v>160</v>
      </c>
      <c r="C111" s="74" t="s">
        <v>183</v>
      </c>
      <c r="D111" s="74"/>
      <c r="E111" s="8" t="s">
        <v>184</v>
      </c>
      <c r="F111" s="4"/>
      <c r="G111" s="8" t="s">
        <v>185</v>
      </c>
      <c r="H111" s="3" t="str">
        <f>HYPERLINK("https://youtube.com/VladaMakedonija","https://youtube.com/VladaMakedonija")</f>
        <v>https://youtube.com/VladaMakedonija</v>
      </c>
      <c r="I111" s="46"/>
      <c r="J111" s="3" t="str">
        <f>HYPERLINK("https://youtube.com/mnrmakedonija","https://youtube.com/mnrmakedonija")</f>
        <v>https://youtube.com/mnrmakedonija</v>
      </c>
      <c r="K111" s="46"/>
      <c r="L111" s="46"/>
      <c r="M111" s="46"/>
      <c r="N111" s="46"/>
      <c r="O111" s="46"/>
      <c r="P111" s="64"/>
      <c r="CP111" s="44"/>
      <c r="CQ111" s="44"/>
      <c r="CR111" s="44"/>
      <c r="CS111" s="44"/>
      <c r="CT111" s="44"/>
      <c r="CU111" s="44"/>
      <c r="CV111" s="44"/>
      <c r="CW111" s="44"/>
      <c r="CX111" s="44"/>
      <c r="CY111" s="44"/>
    </row>
    <row r="112" spans="1:103" ht="15" customHeight="1" x14ac:dyDescent="0.35">
      <c r="A112" s="45" t="s">
        <v>186</v>
      </c>
      <c r="B112" s="46" t="s">
        <v>160</v>
      </c>
      <c r="C112" s="74" t="s">
        <v>186</v>
      </c>
      <c r="D112" s="74"/>
      <c r="E112" s="46"/>
      <c r="F112" s="8" t="s">
        <v>187</v>
      </c>
      <c r="G112" s="4"/>
      <c r="H112" s="46"/>
      <c r="I112" s="46"/>
      <c r="J112" s="3" t="str">
        <f>HYPERLINK("https://youtube.com/ForminFinland/","https://youtube.com/ForminFinland/")</f>
        <v>https://youtube.com/ForminFinland/</v>
      </c>
      <c r="K112" s="46"/>
      <c r="L112" s="46"/>
      <c r="M112" s="46"/>
      <c r="N112" s="46"/>
      <c r="O112" s="46"/>
      <c r="P112" s="64"/>
      <c r="CP112" s="44"/>
      <c r="CQ112" s="44"/>
      <c r="CR112" s="44"/>
      <c r="CS112" s="44"/>
      <c r="CT112" s="44"/>
      <c r="CU112" s="44"/>
      <c r="CV112" s="44"/>
      <c r="CW112" s="44"/>
      <c r="CX112" s="44"/>
      <c r="CY112" s="44"/>
    </row>
    <row r="113" spans="1:103" ht="15" customHeight="1" x14ac:dyDescent="0.35">
      <c r="A113" s="45" t="s">
        <v>188</v>
      </c>
      <c r="B113" s="46" t="s">
        <v>160</v>
      </c>
      <c r="C113" s="74" t="s">
        <v>188</v>
      </c>
      <c r="D113" s="74"/>
      <c r="E113" s="8" t="s">
        <v>189</v>
      </c>
      <c r="F113" s="3" t="str">
        <f>HYPERLINK("https://youtube.com/ELYSEE","https://youtube.com/ELYSEE")</f>
        <v>https://youtube.com/ELYSEE</v>
      </c>
      <c r="G113" s="8" t="s">
        <v>190</v>
      </c>
      <c r="H113" s="8" t="s">
        <v>191</v>
      </c>
      <c r="I113" s="46"/>
      <c r="J113" s="3" t="str">
        <f>HYPERLINK("https://youtube.com/francediplotv","https://youtube.com/francediplotv")</f>
        <v>https://youtube.com/francediplotv</v>
      </c>
      <c r="K113" s="46"/>
      <c r="L113" s="46"/>
      <c r="M113" s="46"/>
      <c r="N113" s="46"/>
      <c r="O113" s="46"/>
      <c r="P113" s="64"/>
      <c r="CP113" s="44"/>
      <c r="CQ113" s="44"/>
      <c r="CR113" s="44"/>
      <c r="CS113" s="44"/>
      <c r="CT113" s="44"/>
      <c r="CU113" s="44"/>
      <c r="CV113" s="44"/>
      <c r="CW113" s="44"/>
      <c r="CX113" s="44"/>
      <c r="CY113" s="44"/>
    </row>
    <row r="114" spans="1:103" ht="15" customHeight="1" x14ac:dyDescent="0.35">
      <c r="A114" s="45" t="s">
        <v>192</v>
      </c>
      <c r="B114" s="46" t="s">
        <v>160</v>
      </c>
      <c r="C114" s="74" t="s">
        <v>192</v>
      </c>
      <c r="D114" s="74"/>
      <c r="E114" s="46"/>
      <c r="F114" s="6"/>
      <c r="G114" s="46"/>
      <c r="H114" s="3" t="str">
        <f>HYPERLINK("https://youtube.com/bundesregierung","https://youtube.com/bundesregierung")</f>
        <v>https://youtube.com/bundesregierung</v>
      </c>
      <c r="I114" s="46"/>
      <c r="J114" s="3" t="str">
        <f>HYPERLINK("https://youtube.com/AuswaertigesAmtDE","https://youtube.com/AuswaertigesAmtDE")</f>
        <v>https://youtube.com/AuswaertigesAmtDE</v>
      </c>
      <c r="K114" s="46"/>
      <c r="L114" s="46"/>
      <c r="M114" s="46"/>
      <c r="N114" s="46"/>
      <c r="O114" s="46"/>
      <c r="P114" s="170" t="str">
        <f>HYPERLINK("https://youtube.com/GermanyDiplo","https://youtube.com/GermanyDiplo, https://youtube.com/allemagnediplo, https://youtube.com/AlemaniaDiplo, https://youtube.com/GermanijaDiplo, https://youtube.com/DeguoDiplo, https://youtube.com/AlmaniaDiplo")</f>
        <v>https://youtube.com/GermanyDiplo, https://youtube.com/allemagnediplo, https://youtube.com/AlemaniaDiplo, https://youtube.com/GermanijaDiplo, https://youtube.com/DeguoDiplo, https://youtube.com/AlmaniaDiplo</v>
      </c>
      <c r="CP114" s="44"/>
      <c r="CQ114" s="44"/>
      <c r="CR114" s="44"/>
      <c r="CS114" s="44"/>
      <c r="CT114" s="44"/>
      <c r="CU114" s="44"/>
      <c r="CV114" s="44"/>
      <c r="CW114" s="44"/>
      <c r="CX114" s="44"/>
      <c r="CY114" s="44"/>
    </row>
    <row r="115" spans="1:103" ht="15" customHeight="1" x14ac:dyDescent="0.35">
      <c r="A115" s="45" t="s">
        <v>194</v>
      </c>
      <c r="B115" s="46" t="s">
        <v>160</v>
      </c>
      <c r="C115" s="74" t="s">
        <v>194</v>
      </c>
      <c r="D115" s="74"/>
      <c r="E115" s="46"/>
      <c r="F115" s="46"/>
      <c r="G115" s="3" t="str">
        <f>HYPERLINK("https://youtube.com/PrimeMinisterGR","https://youtube.com/PrimeMinisterGR")</f>
        <v>https://youtube.com/PrimeMinisterGR</v>
      </c>
      <c r="H115" s="7"/>
      <c r="I115" s="46"/>
      <c r="J115" s="3" t="str">
        <f>HYPERLINK("https://youtube.com/GreeceMFA","https://youtube.com/GreeceMFA")</f>
        <v>https://youtube.com/GreeceMFA</v>
      </c>
      <c r="K115" s="46"/>
      <c r="L115" s="46"/>
      <c r="M115" s="46"/>
      <c r="N115" s="46"/>
      <c r="O115" s="46"/>
      <c r="P115" s="64"/>
      <c r="CP115" s="44"/>
      <c r="CQ115" s="44"/>
      <c r="CR115" s="44"/>
      <c r="CS115" s="44"/>
      <c r="CT115" s="44"/>
      <c r="CU115" s="44"/>
      <c r="CV115" s="44"/>
      <c r="CW115" s="44"/>
      <c r="CX115" s="44"/>
      <c r="CY115" s="44"/>
    </row>
    <row r="116" spans="1:103" ht="15" customHeight="1" x14ac:dyDescent="0.35">
      <c r="A116" s="45" t="s">
        <v>195</v>
      </c>
      <c r="B116" s="46" t="s">
        <v>160</v>
      </c>
      <c r="C116" s="74" t="s">
        <v>195</v>
      </c>
      <c r="D116" s="74"/>
      <c r="E116" s="46"/>
      <c r="F116" s="2"/>
      <c r="G116" s="2"/>
      <c r="H116" s="3" t="str">
        <f>HYPERLINK("https://youtube.com/kormanyhu","https://youtube.com/kormanyhu")</f>
        <v>https://youtube.com/kormanyhu</v>
      </c>
      <c r="I116" s="46"/>
      <c r="J116" s="46"/>
      <c r="K116" s="46"/>
      <c r="L116" s="46"/>
      <c r="M116" s="46"/>
      <c r="N116" s="46"/>
      <c r="O116" s="46"/>
      <c r="P116" s="64"/>
      <c r="CP116" s="44"/>
      <c r="CQ116" s="44"/>
      <c r="CR116" s="44"/>
      <c r="CS116" s="44"/>
      <c r="CT116" s="44"/>
      <c r="CU116" s="44"/>
      <c r="CV116" s="44"/>
      <c r="CW116" s="44"/>
      <c r="CX116" s="44"/>
      <c r="CY116" s="44"/>
    </row>
    <row r="117" spans="1:103" ht="15" customHeight="1" x14ac:dyDescent="0.35">
      <c r="A117" s="45" t="s">
        <v>196</v>
      </c>
      <c r="B117" s="46" t="s">
        <v>160</v>
      </c>
      <c r="C117" s="74" t="s">
        <v>196</v>
      </c>
      <c r="D117" s="74"/>
      <c r="E117" s="2"/>
      <c r="F117" s="4"/>
      <c r="G117" s="2"/>
      <c r="H117" s="46"/>
      <c r="I117" s="46"/>
      <c r="J117" s="4" t="s">
        <v>454</v>
      </c>
      <c r="K117" s="46"/>
      <c r="L117" s="46"/>
      <c r="M117" s="46"/>
      <c r="N117" s="46"/>
      <c r="O117" s="46"/>
      <c r="P117" s="64"/>
      <c r="CP117" s="44"/>
      <c r="CQ117" s="44"/>
      <c r="CR117" s="44"/>
      <c r="CS117" s="44"/>
      <c r="CT117" s="44"/>
      <c r="CU117" s="44"/>
      <c r="CV117" s="44"/>
      <c r="CW117" s="44"/>
      <c r="CX117" s="44"/>
      <c r="CY117" s="44"/>
    </row>
    <row r="118" spans="1:103" ht="15" customHeight="1" x14ac:dyDescent="0.35">
      <c r="A118" s="45" t="s">
        <v>197</v>
      </c>
      <c r="B118" s="46" t="s">
        <v>160</v>
      </c>
      <c r="C118" s="74" t="s">
        <v>197</v>
      </c>
      <c r="D118" s="74"/>
      <c r="E118" s="46"/>
      <c r="F118" s="2" t="s">
        <v>455</v>
      </c>
      <c r="G118" s="46"/>
      <c r="H118" s="3" t="str">
        <f>HYPERLINK("https://youtube.com/merrionstreet","https://youtube.com/merrionstreet")</f>
        <v>https://youtube.com/merrionstreet</v>
      </c>
      <c r="I118" s="46"/>
      <c r="J118" s="2"/>
      <c r="K118" s="46"/>
      <c r="L118" s="46"/>
      <c r="M118" s="46"/>
      <c r="N118" s="46"/>
      <c r="O118" s="46"/>
      <c r="P118" s="64"/>
      <c r="CP118" s="44"/>
      <c r="CQ118" s="44"/>
      <c r="CR118" s="44"/>
      <c r="CS118" s="44"/>
      <c r="CT118" s="44"/>
      <c r="CU118" s="44"/>
      <c r="CV118" s="44"/>
      <c r="CW118" s="44"/>
      <c r="CX118" s="44"/>
      <c r="CY118" s="44"/>
    </row>
    <row r="119" spans="1:103" ht="15" customHeight="1" x14ac:dyDescent="0.35">
      <c r="A119" s="45" t="s">
        <v>198</v>
      </c>
      <c r="B119" s="46" t="s">
        <v>160</v>
      </c>
      <c r="C119" s="74" t="s">
        <v>198</v>
      </c>
      <c r="D119" s="74"/>
      <c r="E119" s="46"/>
      <c r="F119" s="3" t="str">
        <f>HYPERLINK("https://youtube.com/presidenzarepubblica","https://youtube.com/presidenzarepubblica")</f>
        <v>https://youtube.com/presidenzarepubblica</v>
      </c>
      <c r="G119" s="7" t="s">
        <v>200</v>
      </c>
      <c r="H119" s="3" t="str">
        <f>HYPERLINK("https://youtube.com/palazzochigi","https://youtube.com/palazzochigi")</f>
        <v>https://youtube.com/palazzochigi</v>
      </c>
      <c r="I119" s="8" t="s">
        <v>201</v>
      </c>
      <c r="J119" s="3" t="str">
        <f>HYPERLINK("https://youtube.com/MinisteroEsteri","https://youtube.com/MinisteroEsteri")</f>
        <v>https://youtube.com/MinisteroEsteri</v>
      </c>
      <c r="K119" s="46"/>
      <c r="L119" s="46"/>
      <c r="M119" s="46"/>
      <c r="N119" s="46"/>
      <c r="O119" s="46"/>
      <c r="P119" s="64"/>
      <c r="CP119" s="44"/>
      <c r="CQ119" s="44"/>
      <c r="CR119" s="44"/>
      <c r="CS119" s="44"/>
      <c r="CT119" s="44"/>
      <c r="CU119" s="44"/>
      <c r="CV119" s="44"/>
      <c r="CW119" s="44"/>
      <c r="CX119" s="44"/>
      <c r="CY119" s="44"/>
    </row>
    <row r="120" spans="1:103" ht="15" customHeight="1" x14ac:dyDescent="0.35">
      <c r="A120" s="45" t="s">
        <v>204</v>
      </c>
      <c r="B120" s="46" t="s">
        <v>160</v>
      </c>
      <c r="C120" s="74" t="s">
        <v>204</v>
      </c>
      <c r="D120" s="74"/>
      <c r="E120" s="7" t="s">
        <v>630</v>
      </c>
      <c r="F120" s="7" t="s">
        <v>457</v>
      </c>
      <c r="G120" s="2"/>
      <c r="H120" s="3" t="str">
        <f>HYPERLINK("https://youtube.com/valstskanceleja","https://youtube.com/valstskanceleja")</f>
        <v>https://youtube.com/valstskanceleja</v>
      </c>
      <c r="I120" s="46"/>
      <c r="J120" s="3" t="str">
        <f>HYPERLINK("https://youtube.com/LatvianMFA","https://youtube.com/LatvianMFA")</f>
        <v>https://youtube.com/LatvianMFA</v>
      </c>
      <c r="K120" s="46"/>
      <c r="L120" s="46"/>
      <c r="M120" s="46"/>
      <c r="N120" s="46"/>
      <c r="O120" s="46"/>
      <c r="P120" s="64"/>
      <c r="CP120" s="44"/>
      <c r="CQ120" s="44"/>
      <c r="CR120" s="44"/>
      <c r="CS120" s="44"/>
      <c r="CT120" s="44"/>
      <c r="CU120" s="44"/>
      <c r="CV120" s="44"/>
      <c r="CW120" s="44"/>
      <c r="CX120" s="44"/>
      <c r="CY120" s="44"/>
    </row>
    <row r="121" spans="1:103" ht="15" customHeight="1" x14ac:dyDescent="0.35">
      <c r="A121" s="45" t="s">
        <v>205</v>
      </c>
      <c r="B121" s="46" t="s">
        <v>160</v>
      </c>
      <c r="C121" s="74" t="s">
        <v>205</v>
      </c>
      <c r="D121" s="74"/>
      <c r="E121" s="46"/>
      <c r="F121" s="46"/>
      <c r="G121" s="46"/>
      <c r="H121" s="3" t="str">
        <f>HYPERLINK("https://youtube.com/RegierungFL","https://youtube.com/RegierungFL")</f>
        <v>https://youtube.com/RegierungFL</v>
      </c>
      <c r="I121" s="46"/>
      <c r="J121" s="2"/>
      <c r="K121" s="46"/>
      <c r="L121" s="46"/>
      <c r="M121" s="46"/>
      <c r="N121" s="46"/>
      <c r="O121" s="46"/>
      <c r="P121" s="64"/>
      <c r="CP121" s="44"/>
      <c r="CQ121" s="44"/>
      <c r="CR121" s="44"/>
      <c r="CS121" s="44"/>
      <c r="CT121" s="44"/>
      <c r="CU121" s="44"/>
      <c r="CV121" s="44"/>
      <c r="CW121" s="44"/>
      <c r="CX121" s="44"/>
      <c r="CY121" s="44"/>
    </row>
    <row r="122" spans="1:103" ht="15" customHeight="1" x14ac:dyDescent="0.35">
      <c r="A122" s="45" t="s">
        <v>206</v>
      </c>
      <c r="B122" s="46" t="s">
        <v>160</v>
      </c>
      <c r="C122" s="74" t="s">
        <v>206</v>
      </c>
      <c r="D122" s="74"/>
      <c r="E122" s="2"/>
      <c r="F122" s="3" t="str">
        <f>HYPERLINK("https://youtube.com/PresidentofLithuania","https://youtube.com/PresidentofLithuania")</f>
        <v>https://youtube.com/PresidentofLithuania</v>
      </c>
      <c r="G122" s="46"/>
      <c r="H122" s="3" t="str">
        <f>HYPERLINK("https://youtube.com/lrvyriausybe","https://youtube.com/lrvyriausybe")</f>
        <v>https://youtube.com/lrvyriausybe</v>
      </c>
      <c r="I122" s="46"/>
      <c r="J122" s="3" t="str">
        <f>HYPERLINK("https://youtube.com/MFAofLITHUANIA","https://youtube.com/MFAofLITHUANIA")</f>
        <v>https://youtube.com/MFAofLITHUANIA</v>
      </c>
      <c r="K122" s="46"/>
      <c r="L122" s="46"/>
      <c r="M122" s="46"/>
      <c r="N122" s="46"/>
      <c r="O122" s="46"/>
      <c r="P122" s="64"/>
      <c r="CP122" s="44"/>
      <c r="CQ122" s="44"/>
      <c r="CR122" s="44"/>
      <c r="CS122" s="44"/>
      <c r="CT122" s="44"/>
      <c r="CU122" s="44"/>
      <c r="CV122" s="44"/>
      <c r="CW122" s="44"/>
      <c r="CX122" s="44"/>
      <c r="CY122" s="44"/>
    </row>
    <row r="123" spans="1:103" ht="15" customHeight="1" x14ac:dyDescent="0.35">
      <c r="A123" s="45" t="s">
        <v>208</v>
      </c>
      <c r="B123" s="46" t="s">
        <v>160</v>
      </c>
      <c r="C123" s="74" t="s">
        <v>208</v>
      </c>
      <c r="D123" s="74"/>
      <c r="E123" s="2" t="s">
        <v>458</v>
      </c>
      <c r="F123" s="46"/>
      <c r="G123" s="3" t="str">
        <f>HYPERLINK("https://youtube.com/JosephMUSCATdotcom","https://youtube.com/JosephMUSCATdotcom")</f>
        <v>https://youtube.com/JosephMUSCATdotcom</v>
      </c>
      <c r="H123" s="8" t="s">
        <v>210</v>
      </c>
      <c r="I123" s="46"/>
      <c r="J123" s="46"/>
      <c r="K123" s="46"/>
      <c r="L123" s="46"/>
      <c r="M123" s="46"/>
      <c r="N123" s="46"/>
      <c r="O123" s="46"/>
      <c r="P123" s="64"/>
      <c r="CP123" s="44"/>
      <c r="CQ123" s="44"/>
      <c r="CR123" s="44"/>
      <c r="CS123" s="44"/>
      <c r="CT123" s="44"/>
      <c r="CU123" s="44"/>
      <c r="CV123" s="44"/>
      <c r="CW123" s="44"/>
      <c r="CX123" s="44"/>
      <c r="CY123" s="44"/>
    </row>
    <row r="124" spans="1:103" ht="15" customHeight="1" x14ac:dyDescent="0.35">
      <c r="A124" s="45" t="s">
        <v>211</v>
      </c>
      <c r="B124" s="46" t="s">
        <v>160</v>
      </c>
      <c r="C124" s="74" t="s">
        <v>211</v>
      </c>
      <c r="D124" s="74"/>
      <c r="E124" s="3" t="str">
        <f>HYPERLINK("https://youtube.com/channel/UCIXYOBuejyv3il1g8Gd0tHw","https://youtube.com/channel/UCIXYOBuejyv3il1g8Gd0tHw")</f>
        <v>https://youtube.com/channel/UCIXYOBuejyv3il1g8Gd0tHw</v>
      </c>
      <c r="F124" s="46"/>
      <c r="G124" s="46"/>
      <c r="H124" s="46"/>
      <c r="I124" s="46"/>
      <c r="J124" s="3" t="str">
        <f>HYPERLINK("https://youtube.com/MAEIERM","https://youtube.com/MAEIERM")</f>
        <v>https://youtube.com/MAEIERM</v>
      </c>
      <c r="K124" s="46"/>
      <c r="L124" s="46"/>
      <c r="M124" s="46"/>
      <c r="N124" s="46"/>
      <c r="O124" s="46"/>
      <c r="P124" s="64"/>
      <c r="CP124" s="44"/>
      <c r="CQ124" s="44"/>
      <c r="CR124" s="44"/>
      <c r="CS124" s="44"/>
      <c r="CT124" s="44"/>
      <c r="CU124" s="44"/>
      <c r="CV124" s="44"/>
      <c r="CW124" s="44"/>
      <c r="CX124" s="44"/>
      <c r="CY124" s="44"/>
    </row>
    <row r="125" spans="1:103" ht="15" customHeight="1" x14ac:dyDescent="0.35">
      <c r="A125" s="45" t="s">
        <v>212</v>
      </c>
      <c r="B125" s="46" t="s">
        <v>160</v>
      </c>
      <c r="C125" s="74" t="s">
        <v>212</v>
      </c>
      <c r="D125" s="74"/>
      <c r="E125" s="2"/>
      <c r="F125" s="46"/>
      <c r="G125" s="46"/>
      <c r="H125" s="2" t="s">
        <v>695</v>
      </c>
      <c r="I125" s="46"/>
      <c r="J125" s="46"/>
      <c r="K125" s="46"/>
      <c r="L125" s="46"/>
      <c r="M125" s="46"/>
      <c r="N125" s="46"/>
      <c r="O125" s="46"/>
      <c r="P125" s="64"/>
      <c r="CP125" s="44"/>
      <c r="CQ125" s="44"/>
      <c r="CR125" s="44"/>
      <c r="CS125" s="44"/>
      <c r="CT125" s="44"/>
      <c r="CU125" s="44"/>
      <c r="CV125" s="44"/>
      <c r="CW125" s="44"/>
      <c r="CX125" s="44"/>
      <c r="CY125" s="44"/>
    </row>
    <row r="126" spans="1:103" ht="15" customHeight="1" x14ac:dyDescent="0.35">
      <c r="A126" s="45" t="s">
        <v>213</v>
      </c>
      <c r="B126" s="46" t="s">
        <v>160</v>
      </c>
      <c r="C126" s="74" t="s">
        <v>213</v>
      </c>
      <c r="D126" s="74"/>
      <c r="E126" s="4"/>
      <c r="F126" s="46"/>
      <c r="G126" s="46"/>
      <c r="H126" s="3" t="str">
        <f>HYPERLINK("https://youtube.com/MeGovernment","https://youtube.com/MeGovernment")</f>
        <v>https://youtube.com/MeGovernment</v>
      </c>
      <c r="I126" s="46"/>
      <c r="J126" s="46"/>
      <c r="K126" s="46"/>
      <c r="L126" s="46"/>
      <c r="M126" s="46"/>
      <c r="N126" s="46"/>
      <c r="O126" s="46"/>
      <c r="P126" s="64"/>
      <c r="CP126" s="44"/>
      <c r="CQ126" s="44"/>
      <c r="CR126" s="44"/>
      <c r="CS126" s="44"/>
      <c r="CT126" s="44"/>
      <c r="CU126" s="44"/>
      <c r="CV126" s="44"/>
      <c r="CW126" s="44"/>
      <c r="CX126" s="44"/>
      <c r="CY126" s="44"/>
    </row>
    <row r="127" spans="1:103" ht="15" customHeight="1" x14ac:dyDescent="0.35">
      <c r="A127" s="45" t="s">
        <v>214</v>
      </c>
      <c r="B127" s="46" t="s">
        <v>160</v>
      </c>
      <c r="C127" s="74" t="s">
        <v>214</v>
      </c>
      <c r="D127" s="74"/>
      <c r="E127" s="4"/>
      <c r="F127" s="3" t="str">
        <f>HYPERLINK("https://youtube.com/koninklijkhuis","https://youtube.com/koninklijkhuis")</f>
        <v>https://youtube.com/koninklijkhuis</v>
      </c>
      <c r="G127" s="3" t="str">
        <f>HYPERLINK("https://youtube.com/DeMinPres","https://youtube.com/DeMinPres")</f>
        <v>https://youtube.com/DeMinPres</v>
      </c>
      <c r="H127" s="3" t="str">
        <f>HYPERLINK("https://youtube.com/rijksoverheid","https://youtube.com/rijksoverheid")</f>
        <v>https://youtube.com/rijksoverheid</v>
      </c>
      <c r="I127" s="46"/>
      <c r="J127" s="3" t="str">
        <f>HYPERLINK("https://youtube.com/ministerieBZ","https://youtube.com/ministerieBZ")</f>
        <v>https://youtube.com/ministerieBZ</v>
      </c>
      <c r="K127" s="46"/>
      <c r="L127" s="46"/>
      <c r="M127" s="46"/>
      <c r="N127" s="3" t="str">
        <f>HYPERLINK("https://youtube.com/DutchGovernment","https://youtube.com/DutchGovernment")</f>
        <v>https://youtube.com/DutchGovernment</v>
      </c>
      <c r="O127" s="46"/>
      <c r="P127" s="64"/>
      <c r="CP127" s="44"/>
      <c r="CQ127" s="44"/>
      <c r="CR127" s="44"/>
      <c r="CS127" s="44"/>
      <c r="CT127" s="44"/>
      <c r="CU127" s="44"/>
      <c r="CV127" s="44"/>
      <c r="CW127" s="44"/>
      <c r="CX127" s="44"/>
      <c r="CY127" s="44"/>
    </row>
    <row r="128" spans="1:103" ht="15" customHeight="1" x14ac:dyDescent="0.35">
      <c r="A128" s="45" t="s">
        <v>217</v>
      </c>
      <c r="B128" s="46" t="s">
        <v>160</v>
      </c>
      <c r="C128" s="74" t="s">
        <v>217</v>
      </c>
      <c r="D128" s="74"/>
      <c r="F128" s="3" t="str">
        <f>HYPERLINK("https://youtube.com/kongehuset","https://youtube.com/kongehuset")</f>
        <v>https://youtube.com/kongehuset</v>
      </c>
      <c r="G128" s="3" t="str">
        <f>HYPERLINK("https://youtube.com/channel/UCV2LlBkQ9S1oli8q4tQw5uQ","https://youtube.com/channel/UCV2LlBkQ9S1oli8q4tQw5uQ")</f>
        <v>https://youtube.com/channel/UCV2LlBkQ9S1oli8q4tQw5uQ</v>
      </c>
      <c r="H128" s="46"/>
      <c r="I128" s="46"/>
      <c r="J128" s="46"/>
      <c r="K128" s="46"/>
      <c r="L128" s="46"/>
      <c r="M128" s="46"/>
      <c r="N128" s="46"/>
      <c r="O128" s="46"/>
      <c r="P128" s="64"/>
      <c r="CP128" s="44"/>
      <c r="CQ128" s="44"/>
      <c r="CR128" s="44"/>
      <c r="CS128" s="44"/>
      <c r="CT128" s="44"/>
      <c r="CU128" s="44"/>
      <c r="CV128" s="44"/>
      <c r="CW128" s="44"/>
      <c r="CX128" s="44"/>
      <c r="CY128" s="44"/>
    </row>
    <row r="129" spans="1:103" ht="15" customHeight="1" x14ac:dyDescent="0.35">
      <c r="A129" s="45" t="s">
        <v>219</v>
      </c>
      <c r="B129" s="46" t="s">
        <v>160</v>
      </c>
      <c r="C129" s="74" t="s">
        <v>219</v>
      </c>
      <c r="D129" s="74"/>
      <c r="E129" s="7" t="s">
        <v>220</v>
      </c>
      <c r="F129" s="3" t="str">
        <f>HYPERLINK("https://youtube.com/wwwprezydentpl","https://youtube.com/wwwprezydentpl")</f>
        <v>https://youtube.com/wwwprezydentpl</v>
      </c>
      <c r="G129" s="7" t="s">
        <v>221</v>
      </c>
      <c r="H129" s="3" t="str">
        <f>HYPERLINK("https://youtube.com/KancelariaPremiera","https://youtube.com/KancelariaPremiera")</f>
        <v>https://youtube.com/KancelariaPremiera</v>
      </c>
      <c r="I129" s="46"/>
      <c r="J129" s="3" t="str">
        <f>HYPERLINK("https://youtube.com/PolandMFA","https://youtube.com/PolandMFA")</f>
        <v>https://youtube.com/PolandMFA</v>
      </c>
      <c r="K129" s="46"/>
      <c r="L129" s="46"/>
      <c r="M129" s="46"/>
      <c r="N129" s="46"/>
      <c r="O129" s="46"/>
      <c r="P129" s="64"/>
      <c r="CP129" s="44"/>
      <c r="CQ129" s="44"/>
      <c r="CR129" s="44"/>
      <c r="CS129" s="44"/>
      <c r="CT129" s="44"/>
      <c r="CU129" s="44"/>
      <c r="CV129" s="44"/>
      <c r="CW129" s="44"/>
      <c r="CX129" s="44"/>
      <c r="CY129" s="44"/>
    </row>
    <row r="130" spans="1:103" ht="15" customHeight="1" x14ac:dyDescent="0.35">
      <c r="A130" s="45" t="s">
        <v>223</v>
      </c>
      <c r="B130" s="46" t="s">
        <v>160</v>
      </c>
      <c r="C130" s="74" t="s">
        <v>223</v>
      </c>
      <c r="D130" s="74"/>
      <c r="E130" s="8" t="s">
        <v>224</v>
      </c>
      <c r="F130" s="3" t="str">
        <f>HYPERLINK("https://youtube.com/PresidenciaRepublica","https://youtube.com/PresidenciaRepublica")</f>
        <v>https://youtube.com/PresidenciaRepublica</v>
      </c>
      <c r="G130" s="46"/>
      <c r="H130" s="46"/>
      <c r="I130" s="46"/>
      <c r="J130" s="46"/>
      <c r="K130" s="46"/>
      <c r="L130" s="46"/>
      <c r="M130" s="46"/>
      <c r="N130" s="46"/>
      <c r="O130" s="46"/>
      <c r="P130" s="64"/>
      <c r="CP130" s="44"/>
      <c r="CQ130" s="44"/>
      <c r="CR130" s="44"/>
      <c r="CS130" s="44"/>
      <c r="CT130" s="44"/>
      <c r="CU130" s="44"/>
      <c r="CV130" s="44"/>
      <c r="CW130" s="44"/>
      <c r="CX130" s="44"/>
      <c r="CY130" s="44"/>
    </row>
    <row r="131" spans="1:103" ht="15" customHeight="1" x14ac:dyDescent="0.35">
      <c r="A131" s="45" t="s">
        <v>225</v>
      </c>
      <c r="B131" s="46" t="s">
        <v>160</v>
      </c>
      <c r="C131" s="74" t="s">
        <v>225</v>
      </c>
      <c r="D131" s="74"/>
      <c r="E131" s="8" t="s">
        <v>226</v>
      </c>
      <c r="F131" s="46"/>
      <c r="G131" s="46"/>
      <c r="H131" s="3" t="str">
        <f>HYPERLINK("https://youtube.com/guvernulromaniei","https://youtube.com/guvernulromaniei")</f>
        <v>https://youtube.com/guvernulromaniei</v>
      </c>
      <c r="I131" s="46"/>
      <c r="J131" s="3" t="str">
        <f>HYPERLINK("https://youtube.com/MAERomania","https://youtube.com/MAERomania")</f>
        <v>https://youtube.com/MAERomania</v>
      </c>
      <c r="K131" s="46"/>
      <c r="L131" s="46"/>
      <c r="M131" s="46"/>
      <c r="N131" s="46"/>
      <c r="O131" s="46"/>
      <c r="P131" s="64"/>
      <c r="CP131" s="44"/>
      <c r="CQ131" s="44"/>
      <c r="CR131" s="44"/>
      <c r="CS131" s="44"/>
      <c r="CT131" s="44"/>
      <c r="CU131" s="44"/>
      <c r="CV131" s="44"/>
      <c r="CW131" s="44"/>
      <c r="CX131" s="44"/>
      <c r="CY131" s="44"/>
    </row>
    <row r="132" spans="1:103" ht="15" customHeight="1" x14ac:dyDescent="0.35">
      <c r="A132" s="45" t="s">
        <v>227</v>
      </c>
      <c r="B132" s="46" t="s">
        <v>160</v>
      </c>
      <c r="C132" s="74" t="s">
        <v>227</v>
      </c>
      <c r="D132" s="74"/>
      <c r="E132" s="4"/>
      <c r="F132" s="3" t="str">
        <f>HYPERLINK("https://youtube.com/kremlin","https://youtube.com/kremlin")</f>
        <v>https://youtube.com/kremlin</v>
      </c>
      <c r="G132" s="46"/>
      <c r="H132" s="18" t="s">
        <v>459</v>
      </c>
      <c r="I132" s="46"/>
      <c r="J132" s="3" t="str">
        <f>HYPERLINK("https://youtube.com/midrftube","https://youtube.com/midrftube")</f>
        <v>https://youtube.com/midrftube</v>
      </c>
      <c r="K132" s="46"/>
      <c r="L132" s="46"/>
      <c r="M132" s="46"/>
      <c r="N132" s="46"/>
      <c r="O132" s="46"/>
      <c r="P132" s="64"/>
      <c r="CP132" s="44"/>
      <c r="CQ132" s="44"/>
      <c r="CR132" s="44"/>
      <c r="CS132" s="44"/>
      <c r="CT132" s="44"/>
      <c r="CU132" s="44"/>
      <c r="CV132" s="44"/>
      <c r="CW132" s="44"/>
      <c r="CX132" s="44"/>
      <c r="CY132" s="44"/>
    </row>
    <row r="133" spans="1:103" ht="15" customHeight="1" x14ac:dyDescent="0.35">
      <c r="A133" s="45" t="s">
        <v>229</v>
      </c>
      <c r="B133" s="46" t="s">
        <v>160</v>
      </c>
      <c r="C133" s="74" t="s">
        <v>229</v>
      </c>
      <c r="D133" s="74"/>
      <c r="E133" s="2"/>
      <c r="F133" s="46"/>
      <c r="G133" s="7" t="s">
        <v>230</v>
      </c>
      <c r="H133" s="46"/>
      <c r="I133" s="46"/>
      <c r="J133" s="46"/>
      <c r="K133" s="46"/>
      <c r="L133" s="46"/>
      <c r="M133" s="46"/>
      <c r="N133" s="46"/>
      <c r="O133" s="46"/>
      <c r="P133" s="64"/>
      <c r="CP133" s="44"/>
      <c r="CQ133" s="44"/>
      <c r="CR133" s="44"/>
      <c r="CS133" s="44"/>
      <c r="CT133" s="44"/>
      <c r="CU133" s="44"/>
      <c r="CV133" s="44"/>
      <c r="CW133" s="44"/>
      <c r="CX133" s="44"/>
      <c r="CY133" s="44"/>
    </row>
    <row r="134" spans="1:103" ht="15" customHeight="1" x14ac:dyDescent="0.35">
      <c r="A134" s="45" t="s">
        <v>231</v>
      </c>
      <c r="B134" s="46" t="s">
        <v>160</v>
      </c>
      <c r="C134" s="74" t="s">
        <v>231</v>
      </c>
      <c r="D134" s="74"/>
      <c r="E134" s="7" t="s">
        <v>460</v>
      </c>
      <c r="F134" s="46"/>
      <c r="G134" s="8" t="s">
        <v>232</v>
      </c>
      <c r="H134" s="46"/>
      <c r="I134" s="46"/>
      <c r="J134" s="3" t="str">
        <f>HYPERLINK("https://youtube.com/mzvsr","https://youtube.com/mzvsr")</f>
        <v>https://youtube.com/mzvsr</v>
      </c>
      <c r="K134" s="46"/>
      <c r="L134" s="46"/>
      <c r="M134" s="46"/>
      <c r="N134" s="46"/>
      <c r="O134" s="46"/>
      <c r="P134" s="64"/>
      <c r="CP134" s="44"/>
      <c r="CQ134" s="44"/>
      <c r="CR134" s="44"/>
      <c r="CS134" s="44"/>
      <c r="CT134" s="44"/>
      <c r="CU134" s="44"/>
      <c r="CV134" s="44"/>
      <c r="CW134" s="44"/>
      <c r="CX134" s="44"/>
      <c r="CY134" s="44"/>
    </row>
    <row r="135" spans="1:103" ht="15" customHeight="1" x14ac:dyDescent="0.35">
      <c r="A135" s="45" t="s">
        <v>233</v>
      </c>
      <c r="B135" s="46" t="s">
        <v>160</v>
      </c>
      <c r="C135" s="74" t="s">
        <v>233</v>
      </c>
      <c r="D135" s="74"/>
      <c r="E135" s="8" t="s">
        <v>234</v>
      </c>
      <c r="F135" s="46"/>
      <c r="G135" s="46"/>
      <c r="H135" s="46"/>
      <c r="I135" s="46"/>
      <c r="J135" s="3" t="str">
        <f>HYPERLINK("https://youtube.com/channel/UCQr43X77Pvbyl3bsO6xjFmA","https://youtube.com/channel/UCQr43X77Pvbyl3bsO6xjFmA")</f>
        <v>https://youtube.com/channel/UCQr43X77Pvbyl3bsO6xjFmA</v>
      </c>
      <c r="K135" s="46"/>
      <c r="L135" s="46"/>
      <c r="M135" s="46"/>
      <c r="N135" s="46"/>
      <c r="O135" s="46"/>
      <c r="P135" s="64"/>
      <c r="CP135" s="44"/>
      <c r="CQ135" s="44"/>
      <c r="CR135" s="44"/>
      <c r="CS135" s="44"/>
      <c r="CT135" s="44"/>
      <c r="CU135" s="44"/>
      <c r="CV135" s="44"/>
      <c r="CW135" s="44"/>
      <c r="CX135" s="44"/>
      <c r="CY135" s="44"/>
    </row>
    <row r="136" spans="1:103" ht="15" customHeight="1" x14ac:dyDescent="0.35">
      <c r="A136" s="45" t="s">
        <v>235</v>
      </c>
      <c r="B136" s="46" t="s">
        <v>160</v>
      </c>
      <c r="C136" s="74" t="s">
        <v>235</v>
      </c>
      <c r="D136" s="74"/>
      <c r="E136" s="2"/>
      <c r="F136" s="46"/>
      <c r="G136" s="8" t="s">
        <v>237</v>
      </c>
      <c r="H136" s="3" t="str">
        <f>HYPERLINK("https://youtube.com/lamoncloa","https://youtube.com/lamoncloa")</f>
        <v>https://youtube.com/lamoncloa</v>
      </c>
      <c r="I136" s="46"/>
      <c r="J136" s="3" t="str">
        <f>HYPERLINK("https://youtube.com/canalmaectv","https://youtube.com/canalmaectv")</f>
        <v>https://youtube.com/canalmaectv</v>
      </c>
      <c r="K136" s="46"/>
      <c r="L136" s="46"/>
      <c r="M136" s="46"/>
      <c r="N136" s="46"/>
      <c r="O136" s="46"/>
      <c r="P136" s="64"/>
      <c r="CP136" s="44"/>
      <c r="CQ136" s="44"/>
      <c r="CR136" s="44"/>
      <c r="CS136" s="44"/>
      <c r="CT136" s="44"/>
      <c r="CU136" s="44"/>
      <c r="CV136" s="44"/>
      <c r="CW136" s="44"/>
      <c r="CX136" s="44"/>
      <c r="CY136" s="44"/>
    </row>
    <row r="137" spans="1:103" ht="15" customHeight="1" x14ac:dyDescent="0.35">
      <c r="A137" s="45" t="s">
        <v>238</v>
      </c>
      <c r="B137" s="46" t="s">
        <v>160</v>
      </c>
      <c r="C137" s="74" t="s">
        <v>238</v>
      </c>
      <c r="D137" s="74"/>
      <c r="E137" s="6"/>
      <c r="F137" s="163" t="s">
        <v>461</v>
      </c>
      <c r="G137" s="46"/>
      <c r="H137" s="46"/>
      <c r="I137" s="46"/>
      <c r="J137" s="3" t="str">
        <f>HYPERLINK("https://youtube.com/Utrikesdepartementet","https://youtube.com/Utrikesdepartementet")</f>
        <v>https://youtube.com/Utrikesdepartementet</v>
      </c>
      <c r="K137" s="46"/>
      <c r="L137" s="46"/>
      <c r="M137" s="46"/>
      <c r="N137" s="46"/>
      <c r="O137" s="46"/>
      <c r="P137" s="64"/>
      <c r="CP137" s="44"/>
      <c r="CQ137" s="44"/>
      <c r="CR137" s="44"/>
      <c r="CS137" s="44"/>
      <c r="CT137" s="44"/>
      <c r="CU137" s="44"/>
      <c r="CV137" s="44"/>
      <c r="CW137" s="44"/>
      <c r="CX137" s="44"/>
      <c r="CY137" s="44"/>
    </row>
    <row r="138" spans="1:103" ht="15" customHeight="1" x14ac:dyDescent="0.35">
      <c r="A138" s="45" t="s">
        <v>239</v>
      </c>
      <c r="B138" s="46" t="s">
        <v>160</v>
      </c>
      <c r="C138" s="74" t="s">
        <v>239</v>
      </c>
      <c r="D138" s="74"/>
      <c r="E138" s="46"/>
      <c r="F138" s="46" t="s">
        <v>696</v>
      </c>
      <c r="G138" s="2"/>
      <c r="H138" s="46"/>
      <c r="I138" s="46"/>
      <c r="J138" s="46"/>
      <c r="K138" s="46"/>
      <c r="L138" s="46"/>
      <c r="M138" s="46"/>
      <c r="N138" s="46"/>
      <c r="O138" s="46"/>
      <c r="P138" s="64"/>
      <c r="CP138" s="44"/>
      <c r="CQ138" s="44"/>
      <c r="CR138" s="44"/>
      <c r="CS138" s="44"/>
      <c r="CT138" s="44"/>
      <c r="CU138" s="44"/>
      <c r="CV138" s="44"/>
      <c r="CW138" s="44"/>
      <c r="CX138" s="44"/>
      <c r="CY138" s="44"/>
    </row>
    <row r="139" spans="1:103" ht="15" customHeight="1" x14ac:dyDescent="0.35">
      <c r="A139" s="45" t="s">
        <v>240</v>
      </c>
      <c r="B139" s="46" t="s">
        <v>160</v>
      </c>
      <c r="C139" s="74" t="s">
        <v>240</v>
      </c>
      <c r="D139" s="74"/>
      <c r="E139" s="46"/>
      <c r="F139" s="7" t="s">
        <v>462</v>
      </c>
      <c r="G139" s="8" t="s">
        <v>241</v>
      </c>
      <c r="H139" s="18" t="s">
        <v>464</v>
      </c>
      <c r="I139" s="8" t="s">
        <v>242</v>
      </c>
      <c r="J139" s="3" t="str">
        <f>HYPERLINK("https://youtube.com/TCDisisleri","https://youtube.com/TCDisisleri")</f>
        <v>https://youtube.com/TCDisisleri</v>
      </c>
      <c r="K139" s="7" t="s">
        <v>463</v>
      </c>
      <c r="L139" s="46"/>
      <c r="M139" s="46"/>
      <c r="N139" s="46"/>
      <c r="O139" s="46"/>
      <c r="P139" s="171" t="s">
        <v>465</v>
      </c>
      <c r="CP139" s="44"/>
      <c r="CQ139" s="44"/>
      <c r="CR139" s="44"/>
      <c r="CS139" s="44"/>
      <c r="CT139" s="44"/>
      <c r="CU139" s="44"/>
      <c r="CV139" s="44"/>
      <c r="CW139" s="44"/>
      <c r="CX139" s="44"/>
      <c r="CY139" s="44"/>
    </row>
    <row r="140" spans="1:103" ht="15" customHeight="1" x14ac:dyDescent="0.35">
      <c r="A140" s="45" t="s">
        <v>243</v>
      </c>
      <c r="B140" s="46" t="s">
        <v>160</v>
      </c>
      <c r="C140" s="74" t="s">
        <v>243</v>
      </c>
      <c r="D140" s="74"/>
      <c r="E140" s="7" t="s">
        <v>466</v>
      </c>
      <c r="F140" s="3" t="str">
        <f>HYPERLINK("https://youtube.com/PresidentGovUa","https://youtube.com/PresidentGovUa")</f>
        <v>https://youtube.com/PresidentGovUa</v>
      </c>
      <c r="G140" s="2" t="s">
        <v>467</v>
      </c>
      <c r="H140" s="46"/>
      <c r="I140" s="46"/>
      <c r="J140" s="3" t="str">
        <f>HYPERLINK("https://youtube.com/UkraineMFA","https://youtube.com/UkraineMFA")</f>
        <v>https://youtube.com/UkraineMFA</v>
      </c>
      <c r="K140" s="46"/>
      <c r="L140" s="46"/>
      <c r="M140" s="46"/>
      <c r="N140" s="46"/>
      <c r="O140" s="46"/>
      <c r="P140" s="64"/>
      <c r="CP140" s="44"/>
      <c r="CQ140" s="44"/>
      <c r="CR140" s="44"/>
      <c r="CS140" s="44"/>
      <c r="CT140" s="44"/>
      <c r="CU140" s="44"/>
      <c r="CV140" s="44"/>
      <c r="CW140" s="44"/>
      <c r="CX140" s="44"/>
      <c r="CY140" s="44"/>
    </row>
    <row r="141" spans="1:103" ht="15" customHeight="1" thickBot="1" x14ac:dyDescent="0.4">
      <c r="A141" s="57" t="s">
        <v>245</v>
      </c>
      <c r="B141" s="58" t="s">
        <v>160</v>
      </c>
      <c r="C141" s="173" t="s">
        <v>245</v>
      </c>
      <c r="D141" s="173"/>
      <c r="E141" s="58"/>
      <c r="F141" s="160" t="str">
        <f>HYPERLINK("https://youtube.com/TheRoyalChannel","https://youtube.com/TheRoyalChannel")</f>
        <v>https://youtube.com/TheRoyalChannel</v>
      </c>
      <c r="G141" s="58"/>
      <c r="H141" s="160" t="str">
        <f>HYPERLINK("https://youtube.com/number10gov","https://youtube.com/number10gov")</f>
        <v>https://youtube.com/number10gov</v>
      </c>
      <c r="I141" s="58"/>
      <c r="J141" s="160" t="str">
        <f>HYPERLINK("https://youtube.com/ukforeignoffice","https://youtube.com/ukforeignoffice")</f>
        <v>https://youtube.com/ukforeignoffice</v>
      </c>
      <c r="K141" s="58"/>
      <c r="L141" s="58"/>
      <c r="M141" s="58"/>
      <c r="N141" s="178" t="s">
        <v>248</v>
      </c>
      <c r="O141" s="58"/>
      <c r="P141" s="59"/>
      <c r="CP141" s="44"/>
      <c r="CQ141" s="44"/>
      <c r="CR141" s="44"/>
      <c r="CS141" s="44"/>
      <c r="CT141" s="44"/>
      <c r="CU141" s="44"/>
      <c r="CV141" s="44"/>
      <c r="CW141" s="44"/>
      <c r="CX141" s="44"/>
      <c r="CY141" s="44"/>
    </row>
    <row r="142" spans="1:103" ht="15" customHeight="1" x14ac:dyDescent="0.35">
      <c r="A142" s="42" t="s">
        <v>170</v>
      </c>
      <c r="B142" s="43" t="s">
        <v>160</v>
      </c>
      <c r="C142" s="165"/>
      <c r="D142" s="165" t="s">
        <v>170</v>
      </c>
      <c r="E142" s="43"/>
      <c r="F142" s="43"/>
      <c r="G142" s="43"/>
      <c r="H142" s="43"/>
      <c r="I142" s="43"/>
      <c r="J142" s="53"/>
      <c r="K142" s="43"/>
      <c r="L142" s="43"/>
      <c r="M142" s="43"/>
      <c r="N142" s="43"/>
      <c r="O142" s="43"/>
      <c r="P142" s="56"/>
      <c r="CP142" s="44"/>
      <c r="CQ142" s="44"/>
      <c r="CR142" s="44"/>
      <c r="CS142" s="44"/>
      <c r="CT142" s="44"/>
      <c r="CU142" s="44"/>
      <c r="CV142" s="44"/>
      <c r="CW142" s="44"/>
      <c r="CX142" s="44"/>
      <c r="CY142" s="44"/>
    </row>
    <row r="143" spans="1:103" ht="15" customHeight="1" x14ac:dyDescent="0.35">
      <c r="A143" s="45" t="s">
        <v>174</v>
      </c>
      <c r="B143" s="46" t="s">
        <v>160</v>
      </c>
      <c r="C143" s="74"/>
      <c r="D143" s="74" t="s">
        <v>174</v>
      </c>
      <c r="E143" s="46"/>
      <c r="F143" s="46"/>
      <c r="G143" s="46"/>
      <c r="H143" s="46"/>
      <c r="I143" s="46"/>
      <c r="J143" s="46"/>
      <c r="K143" s="46"/>
      <c r="L143" s="46"/>
      <c r="M143" s="46"/>
      <c r="N143" s="46"/>
      <c r="O143" s="46"/>
      <c r="P143" s="64"/>
      <c r="CP143" s="44"/>
      <c r="CQ143" s="44"/>
      <c r="CR143" s="44"/>
      <c r="CS143" s="44"/>
      <c r="CT143" s="44"/>
      <c r="CU143" s="44"/>
      <c r="CV143" s="44"/>
      <c r="CW143" s="44"/>
      <c r="CX143" s="44"/>
      <c r="CY143" s="44"/>
    </row>
    <row r="144" spans="1:103" ht="15" customHeight="1" x14ac:dyDescent="0.35">
      <c r="A144" s="45" t="s">
        <v>175</v>
      </c>
      <c r="B144" s="46" t="s">
        <v>160</v>
      </c>
      <c r="C144" s="74"/>
      <c r="D144" s="74" t="s">
        <v>175</v>
      </c>
      <c r="E144" s="46"/>
      <c r="F144" s="46"/>
      <c r="G144" s="46"/>
      <c r="H144" s="46"/>
      <c r="I144" s="46"/>
      <c r="J144" s="46"/>
      <c r="K144" s="46"/>
      <c r="L144" s="46"/>
      <c r="M144" s="46"/>
      <c r="N144" s="46"/>
      <c r="O144" s="46"/>
      <c r="P144" s="64"/>
      <c r="CP144" s="44"/>
      <c r="CQ144" s="44"/>
      <c r="CR144" s="44"/>
      <c r="CS144" s="44"/>
      <c r="CT144" s="44"/>
      <c r="CU144" s="44"/>
      <c r="CV144" s="44"/>
      <c r="CW144" s="44"/>
      <c r="CX144" s="44"/>
      <c r="CY144" s="44"/>
    </row>
    <row r="145" spans="1:103" ht="15" customHeight="1" x14ac:dyDescent="0.35">
      <c r="A145" s="45" t="s">
        <v>207</v>
      </c>
      <c r="B145" s="46" t="s">
        <v>160</v>
      </c>
      <c r="C145" s="74"/>
      <c r="D145" s="74" t="s">
        <v>207</v>
      </c>
      <c r="E145" s="46"/>
      <c r="F145" s="46"/>
      <c r="G145" s="46"/>
      <c r="H145" s="46"/>
      <c r="I145" s="46"/>
      <c r="J145" s="46"/>
      <c r="K145" s="46"/>
      <c r="L145" s="46"/>
      <c r="M145" s="46"/>
      <c r="N145" s="46"/>
      <c r="O145" s="46"/>
      <c r="P145" s="64"/>
      <c r="CP145" s="44"/>
      <c r="CQ145" s="44"/>
      <c r="CR145" s="44"/>
      <c r="CS145" s="44"/>
      <c r="CT145" s="44"/>
      <c r="CU145" s="44"/>
      <c r="CV145" s="44"/>
      <c r="CW145" s="44"/>
      <c r="CX145" s="44"/>
      <c r="CY145" s="44"/>
    </row>
    <row r="146" spans="1:103" ht="15" customHeight="1" thickBot="1" x14ac:dyDescent="0.4">
      <c r="A146" s="57" t="s">
        <v>228</v>
      </c>
      <c r="B146" s="58" t="s">
        <v>160</v>
      </c>
      <c r="C146" s="173"/>
      <c r="D146" s="173" t="s">
        <v>228</v>
      </c>
      <c r="E146" s="58"/>
      <c r="F146" s="179"/>
      <c r="G146" s="58"/>
      <c r="H146" s="58"/>
      <c r="I146" s="58"/>
      <c r="J146" s="58"/>
      <c r="K146" s="58"/>
      <c r="L146" s="58"/>
      <c r="M146" s="58"/>
      <c r="N146" s="58"/>
      <c r="O146" s="58"/>
      <c r="P146" s="59"/>
      <c r="CP146" s="44"/>
      <c r="CQ146" s="44"/>
      <c r="CR146" s="44"/>
      <c r="CS146" s="44"/>
      <c r="CT146" s="44"/>
      <c r="CU146" s="44"/>
      <c r="CV146" s="44"/>
      <c r="CW146" s="44"/>
      <c r="CX146" s="44"/>
      <c r="CY146" s="44"/>
    </row>
    <row r="147" spans="1:103" ht="15" customHeight="1" x14ac:dyDescent="0.35">
      <c r="A147" s="42" t="s">
        <v>251</v>
      </c>
      <c r="B147" s="43" t="s">
        <v>250</v>
      </c>
      <c r="C147" s="165" t="s">
        <v>251</v>
      </c>
      <c r="D147" s="165"/>
      <c r="E147" s="43"/>
      <c r="F147" s="51"/>
      <c r="G147" s="53"/>
      <c r="H147" s="50" t="str">
        <f>HYPERLINK("https://youtube.com/antiguagovernment","https://youtube.com/antiguagovernment")</f>
        <v>https://youtube.com/antiguagovernment</v>
      </c>
      <c r="I147" s="43"/>
      <c r="J147" s="43"/>
      <c r="K147" s="43"/>
      <c r="L147" s="43"/>
      <c r="M147" s="43"/>
      <c r="N147" s="43"/>
      <c r="O147" s="43"/>
      <c r="P147" s="56"/>
      <c r="CP147" s="44"/>
      <c r="CQ147" s="44"/>
      <c r="CR147" s="44"/>
      <c r="CS147" s="44"/>
      <c r="CT147" s="44"/>
      <c r="CU147" s="44"/>
      <c r="CV147" s="44"/>
      <c r="CW147" s="44"/>
      <c r="CX147" s="44"/>
      <c r="CY147" s="44"/>
    </row>
    <row r="148" spans="1:103" ht="15" customHeight="1" x14ac:dyDescent="0.35">
      <c r="A148" s="45" t="s">
        <v>253</v>
      </c>
      <c r="B148" s="46" t="s">
        <v>250</v>
      </c>
      <c r="C148" s="74" t="s">
        <v>253</v>
      </c>
      <c r="D148" s="74"/>
      <c r="E148" s="2"/>
      <c r="F148" s="46"/>
      <c r="G148" s="46"/>
      <c r="H148" s="4" t="s">
        <v>468</v>
      </c>
      <c r="I148" s="46"/>
      <c r="J148" s="46"/>
      <c r="K148" s="46"/>
      <c r="L148" s="46"/>
      <c r="M148" s="46"/>
      <c r="N148" s="46"/>
      <c r="O148" s="46"/>
      <c r="P148" s="64"/>
      <c r="CP148" s="44"/>
      <c r="CQ148" s="44"/>
      <c r="CR148" s="44"/>
      <c r="CS148" s="44"/>
      <c r="CT148" s="44"/>
      <c r="CU148" s="44"/>
      <c r="CV148" s="44"/>
      <c r="CW148" s="44"/>
      <c r="CX148" s="44"/>
      <c r="CY148" s="44"/>
    </row>
    <row r="149" spans="1:103" ht="15" customHeight="1" x14ac:dyDescent="0.35">
      <c r="A149" s="45" t="s">
        <v>254</v>
      </c>
      <c r="B149" s="46" t="s">
        <v>250</v>
      </c>
      <c r="C149" s="74" t="s">
        <v>254</v>
      </c>
      <c r="D149" s="74"/>
      <c r="E149" s="2"/>
      <c r="F149" s="2"/>
      <c r="G149" s="46"/>
      <c r="H149" s="7" t="s">
        <v>469</v>
      </c>
      <c r="I149" s="46"/>
      <c r="J149" s="46"/>
      <c r="K149" s="46"/>
      <c r="L149" s="46"/>
      <c r="M149" s="46"/>
      <c r="N149" s="46"/>
      <c r="O149" s="46"/>
      <c r="P149" s="64"/>
      <c r="CP149" s="44"/>
      <c r="CQ149" s="44"/>
      <c r="CR149" s="44"/>
      <c r="CS149" s="44"/>
      <c r="CT149" s="44"/>
      <c r="CU149" s="44"/>
      <c r="CV149" s="44"/>
      <c r="CW149" s="44"/>
      <c r="CX149" s="44"/>
      <c r="CY149" s="44"/>
    </row>
    <row r="150" spans="1:103" ht="15" customHeight="1" x14ac:dyDescent="0.35">
      <c r="A150" s="45" t="s">
        <v>255</v>
      </c>
      <c r="B150" s="46" t="s">
        <v>250</v>
      </c>
      <c r="C150" s="74" t="s">
        <v>255</v>
      </c>
      <c r="D150" s="74"/>
      <c r="E150" s="46"/>
      <c r="F150" s="46"/>
      <c r="G150" s="7" t="s">
        <v>256</v>
      </c>
      <c r="H150" s="4"/>
      <c r="I150" s="46"/>
      <c r="J150" s="3" t="str">
        <f>HYPERLINK("https://youtube.com/channel/UCIVMBvs03h74NSdQMH31jKA","https://youtube.com/channel/UCIVMBvs03h74NSdQMH31jKA")</f>
        <v>https://youtube.com/channel/UCIVMBvs03h74NSdQMH31jKA</v>
      </c>
      <c r="K150" s="46"/>
      <c r="L150" s="46"/>
      <c r="M150" s="46"/>
      <c r="N150" s="46"/>
      <c r="O150" s="46"/>
      <c r="P150" s="172" t="str">
        <f>HYPERLINK("https://youtube.com/channel/UCC8So6wZcnVYKCI1tRdw6yg","https://youtube.com/channel/UCC8So6wZcnVYKCI1tRdw6yg")</f>
        <v>https://youtube.com/channel/UCC8So6wZcnVYKCI1tRdw6yg</v>
      </c>
      <c r="CP150" s="44"/>
      <c r="CQ150" s="44"/>
      <c r="CR150" s="44"/>
      <c r="CS150" s="44"/>
      <c r="CT150" s="44"/>
      <c r="CU150" s="44"/>
      <c r="CV150" s="44"/>
      <c r="CW150" s="44"/>
      <c r="CX150" s="44"/>
      <c r="CY150" s="44"/>
    </row>
    <row r="151" spans="1:103" ht="15" customHeight="1" x14ac:dyDescent="0.35">
      <c r="A151" s="45" t="s">
        <v>257</v>
      </c>
      <c r="B151" s="46" t="s">
        <v>250</v>
      </c>
      <c r="C151" s="74" t="s">
        <v>257</v>
      </c>
      <c r="D151" s="74"/>
      <c r="E151" s="8" t="s">
        <v>258</v>
      </c>
      <c r="F151" s="3" t="str">
        <f>HYPERLINK("https://youtube.com/CasaPresidencialCR","https://youtube.com/CasaPresidencialCR")</f>
        <v>https://youtube.com/CasaPresidencialCR</v>
      </c>
      <c r="G151" s="5"/>
      <c r="H151" s="46"/>
      <c r="I151" s="46"/>
      <c r="J151" s="46"/>
      <c r="K151" s="46"/>
      <c r="L151" s="46"/>
      <c r="M151" s="46"/>
      <c r="N151" s="46"/>
      <c r="O151" s="46"/>
      <c r="P151" s="64"/>
      <c r="CP151" s="44"/>
      <c r="CQ151" s="44"/>
      <c r="CR151" s="44"/>
      <c r="CS151" s="44"/>
      <c r="CT151" s="44"/>
      <c r="CU151" s="44"/>
      <c r="CV151" s="44"/>
      <c r="CW151" s="44"/>
      <c r="CX151" s="44"/>
      <c r="CY151" s="44"/>
    </row>
    <row r="152" spans="1:103" ht="15" customHeight="1" x14ac:dyDescent="0.35">
      <c r="A152" s="45" t="s">
        <v>260</v>
      </c>
      <c r="B152" s="46" t="s">
        <v>250</v>
      </c>
      <c r="C152" s="74" t="s">
        <v>260</v>
      </c>
      <c r="D152" s="74"/>
      <c r="E152" s="46"/>
      <c r="F152" s="46"/>
      <c r="G152" s="5"/>
      <c r="H152" s="3" t="str">
        <f>HYPERLINK("https://youtube.com/cubadebatecu","https://youtube.com/cubadebatecu")</f>
        <v>https://youtube.com/cubadebatecu</v>
      </c>
      <c r="I152" s="46"/>
      <c r="J152" s="3" t="str">
        <f>HYPERLINK("https://youtube.com/cubaminrex","https://youtube.com/cubaminrex")</f>
        <v>https://youtube.com/cubaminrex</v>
      </c>
      <c r="K152" s="46"/>
      <c r="L152" s="46"/>
      <c r="M152" s="46"/>
      <c r="N152" s="46"/>
      <c r="O152" s="46"/>
      <c r="P152" s="64"/>
      <c r="CP152" s="44"/>
      <c r="CQ152" s="44"/>
      <c r="CR152" s="44"/>
      <c r="CS152" s="44"/>
      <c r="CT152" s="44"/>
      <c r="CU152" s="44"/>
      <c r="CV152" s="44"/>
      <c r="CW152" s="44"/>
      <c r="CX152" s="44"/>
      <c r="CY152" s="44"/>
    </row>
    <row r="153" spans="1:103" ht="15" customHeight="1" x14ac:dyDescent="0.35">
      <c r="A153" s="45" t="s">
        <v>261</v>
      </c>
      <c r="B153" s="46" t="s">
        <v>250</v>
      </c>
      <c r="C153" s="74" t="s">
        <v>261</v>
      </c>
      <c r="D153" s="74"/>
      <c r="E153" s="46"/>
      <c r="F153" s="46"/>
      <c r="H153" s="4" t="s">
        <v>702</v>
      </c>
      <c r="I153" s="46"/>
      <c r="J153" s="46"/>
      <c r="K153" s="46"/>
      <c r="L153" s="46"/>
      <c r="M153" s="46"/>
      <c r="N153" s="46"/>
      <c r="O153" s="46"/>
      <c r="P153" s="64"/>
      <c r="CP153" s="44"/>
      <c r="CQ153" s="44"/>
      <c r="CR153" s="44"/>
      <c r="CS153" s="44"/>
      <c r="CT153" s="44"/>
      <c r="CU153" s="44"/>
      <c r="CV153" s="44"/>
      <c r="CW153" s="44"/>
      <c r="CX153" s="44"/>
      <c r="CY153" s="44"/>
    </row>
    <row r="154" spans="1:103" ht="15" customHeight="1" x14ac:dyDescent="0.35">
      <c r="A154" s="45" t="s">
        <v>262</v>
      </c>
      <c r="B154" s="46" t="s">
        <v>250</v>
      </c>
      <c r="C154" s="74" t="s">
        <v>262</v>
      </c>
      <c r="D154" s="167"/>
      <c r="E154" s="2" t="s">
        <v>470</v>
      </c>
      <c r="F154" s="3" t="str">
        <f>HYPERLINK("https://youtube.com/PresidenciaRDom","https://youtube.com/PresidenciaRDom")</f>
        <v>https://youtube.com/PresidenciaRDom</v>
      </c>
      <c r="G154" s="46"/>
      <c r="H154" s="46"/>
      <c r="I154" s="46"/>
      <c r="J154" s="8" t="s">
        <v>263</v>
      </c>
      <c r="K154" s="46"/>
      <c r="L154" s="46"/>
      <c r="M154" s="46"/>
      <c r="N154" s="46"/>
      <c r="O154" s="46"/>
      <c r="P154" s="64"/>
      <c r="CP154" s="44"/>
      <c r="CQ154" s="44"/>
      <c r="CR154" s="44"/>
      <c r="CS154" s="44"/>
      <c r="CT154" s="44"/>
      <c r="CU154" s="44"/>
      <c r="CV154" s="44"/>
      <c r="CW154" s="44"/>
      <c r="CX154" s="44"/>
      <c r="CY154" s="44"/>
    </row>
    <row r="155" spans="1:103" ht="15" customHeight="1" x14ac:dyDescent="0.35">
      <c r="A155" s="45" t="s">
        <v>264</v>
      </c>
      <c r="B155" s="46" t="s">
        <v>250</v>
      </c>
      <c r="C155" s="74" t="s">
        <v>264</v>
      </c>
      <c r="D155" s="167"/>
      <c r="E155" s="7" t="s">
        <v>471</v>
      </c>
      <c r="F155" s="3" t="str">
        <f>HYPERLINK("https://youtube.com/CasaPresidencialSV","https://youtube.com/CasaPresidencialSV")</f>
        <v>https://youtube.com/CasaPresidencialSV</v>
      </c>
      <c r="G155" s="46"/>
      <c r="H155" s="46"/>
      <c r="I155" s="46"/>
      <c r="J155" s="3" t="str">
        <f>HYPERLINK("https://youtube.com/cancilleria1","https://youtube.com/cancilleria1")</f>
        <v>https://youtube.com/cancilleria1</v>
      </c>
      <c r="K155" s="46"/>
      <c r="L155" s="46"/>
      <c r="M155" s="46"/>
      <c r="N155" s="46"/>
      <c r="O155" s="46"/>
      <c r="P155" s="64"/>
      <c r="CP155" s="44"/>
      <c r="CQ155" s="44"/>
      <c r="CR155" s="44"/>
      <c r="CS155" s="44"/>
      <c r="CT155" s="44"/>
      <c r="CU155" s="44"/>
      <c r="CV155" s="44"/>
      <c r="CW155" s="44"/>
      <c r="CX155" s="44"/>
      <c r="CY155" s="44"/>
    </row>
    <row r="156" spans="1:103" ht="15" customHeight="1" x14ac:dyDescent="0.35">
      <c r="A156" s="45" t="s">
        <v>265</v>
      </c>
      <c r="B156" s="46" t="s">
        <v>250</v>
      </c>
      <c r="C156" s="74" t="s">
        <v>265</v>
      </c>
      <c r="D156" s="167"/>
      <c r="E156" s="46"/>
      <c r="F156" s="46"/>
      <c r="G156" s="46"/>
      <c r="H156" s="3" t="str">
        <f>HYPERLINK("https://youtube.com/govgd","https://youtube.com/govgd")</f>
        <v>https://youtube.com/govgd</v>
      </c>
      <c r="I156" s="46"/>
      <c r="J156" s="46"/>
      <c r="K156" s="46"/>
      <c r="L156" s="46"/>
      <c r="M156" s="46"/>
      <c r="N156" s="46"/>
      <c r="O156" s="46"/>
      <c r="P156" s="64"/>
      <c r="CP156" s="44"/>
      <c r="CQ156" s="44"/>
      <c r="CR156" s="44"/>
      <c r="CS156" s="44"/>
      <c r="CT156" s="44"/>
      <c r="CU156" s="44"/>
      <c r="CV156" s="44"/>
      <c r="CW156" s="44"/>
      <c r="CX156" s="44"/>
      <c r="CY156" s="44"/>
    </row>
    <row r="157" spans="1:103" ht="15" customHeight="1" x14ac:dyDescent="0.35">
      <c r="A157" s="45" t="s">
        <v>266</v>
      </c>
      <c r="B157" s="46" t="s">
        <v>250</v>
      </c>
      <c r="C157" s="74" t="s">
        <v>266</v>
      </c>
      <c r="D157" s="14"/>
      <c r="E157" s="7" t="s">
        <v>472</v>
      </c>
      <c r="F157" s="46"/>
      <c r="G157" s="46"/>
      <c r="H157" s="3" t="str">
        <f>HYPERLINK("https://youtube.com/GobiernodeGuatemala","https://youtube.com/GobiernodeGuatemala")</f>
        <v>https://youtube.com/GobiernodeGuatemala</v>
      </c>
      <c r="I157" s="46"/>
      <c r="J157" s="46"/>
      <c r="K157" s="46"/>
      <c r="L157" s="46"/>
      <c r="M157" s="46"/>
      <c r="N157" s="46"/>
      <c r="O157" s="46"/>
      <c r="P157" s="64"/>
      <c r="CP157" s="44"/>
      <c r="CQ157" s="44"/>
      <c r="CR157" s="44"/>
      <c r="CS157" s="44"/>
      <c r="CT157" s="44"/>
      <c r="CU157" s="44"/>
      <c r="CV157" s="44"/>
      <c r="CW157" s="44"/>
      <c r="CX157" s="44"/>
      <c r="CY157" s="44"/>
    </row>
    <row r="158" spans="1:103" ht="15" customHeight="1" x14ac:dyDescent="0.35">
      <c r="A158" s="45" t="s">
        <v>268</v>
      </c>
      <c r="B158" s="46" t="s">
        <v>250</v>
      </c>
      <c r="C158" s="74" t="s">
        <v>268</v>
      </c>
      <c r="D158" s="74"/>
      <c r="E158" s="3" t="str">
        <f>HYPERLINK("https://youtube.com/martelly2010","https://youtube.com/martelly2010")</f>
        <v>https://youtube.com/martelly2010</v>
      </c>
      <c r="F158" s="46"/>
      <c r="G158" s="2" t="s">
        <v>473</v>
      </c>
      <c r="H158" s="8" t="s">
        <v>269</v>
      </c>
      <c r="I158" s="46"/>
      <c r="J158" s="8" t="s">
        <v>270</v>
      </c>
      <c r="K158" s="46"/>
      <c r="L158" s="46"/>
      <c r="M158" s="46"/>
      <c r="N158" s="46"/>
      <c r="O158" s="46"/>
      <c r="P158" s="64"/>
      <c r="CP158" s="44"/>
      <c r="CQ158" s="44"/>
      <c r="CR158" s="44"/>
      <c r="CS158" s="44"/>
      <c r="CT158" s="44"/>
      <c r="CU158" s="44"/>
      <c r="CV158" s="44"/>
      <c r="CW158" s="44"/>
      <c r="CX158" s="44"/>
      <c r="CY158" s="44"/>
    </row>
    <row r="159" spans="1:103" ht="15" customHeight="1" x14ac:dyDescent="0.35">
      <c r="A159" s="45" t="s">
        <v>271</v>
      </c>
      <c r="B159" s="46" t="s">
        <v>250</v>
      </c>
      <c r="C159" s="74" t="s">
        <v>271</v>
      </c>
      <c r="D159" s="74"/>
      <c r="E159" s="2" t="s">
        <v>474</v>
      </c>
      <c r="F159" s="46"/>
      <c r="G159" s="46"/>
      <c r="H159" s="46"/>
      <c r="I159" s="46"/>
      <c r="J159" s="46"/>
      <c r="K159" s="46"/>
      <c r="L159" s="46"/>
      <c r="M159" s="46"/>
      <c r="N159" s="46"/>
      <c r="O159" s="46"/>
      <c r="P159" s="64"/>
      <c r="CP159" s="44"/>
      <c r="CQ159" s="44"/>
      <c r="CR159" s="44"/>
      <c r="CS159" s="44"/>
      <c r="CT159" s="44"/>
      <c r="CU159" s="44"/>
      <c r="CV159" s="44"/>
      <c r="CW159" s="44"/>
      <c r="CX159" s="44"/>
      <c r="CY159" s="44"/>
    </row>
    <row r="160" spans="1:103" ht="15" customHeight="1" x14ac:dyDescent="0.35">
      <c r="A160" s="45" t="s">
        <v>272</v>
      </c>
      <c r="B160" s="46" t="s">
        <v>250</v>
      </c>
      <c r="C160" s="74" t="s">
        <v>272</v>
      </c>
      <c r="D160" s="74"/>
      <c r="E160" s="46"/>
      <c r="F160" s="46"/>
      <c r="G160" s="46"/>
      <c r="H160" s="8" t="s">
        <v>273</v>
      </c>
      <c r="I160" s="46"/>
      <c r="J160" s="46"/>
      <c r="K160" s="46"/>
      <c r="L160" s="46"/>
      <c r="M160" s="46"/>
      <c r="N160" s="46"/>
      <c r="O160" s="46"/>
      <c r="P160" s="64"/>
      <c r="CP160" s="44"/>
      <c r="CQ160" s="44"/>
      <c r="CR160" s="44"/>
      <c r="CS160" s="44"/>
      <c r="CT160" s="44"/>
      <c r="CU160" s="44"/>
      <c r="CV160" s="44"/>
      <c r="CW160" s="44"/>
      <c r="CX160" s="44"/>
      <c r="CY160" s="44"/>
    </row>
    <row r="161" spans="1:103" ht="15" customHeight="1" x14ac:dyDescent="0.35">
      <c r="A161" s="45" t="s">
        <v>274</v>
      </c>
      <c r="B161" s="46" t="s">
        <v>250</v>
      </c>
      <c r="C161" s="74" t="s">
        <v>274</v>
      </c>
      <c r="D161" s="74"/>
      <c r="E161" s="3" t="str">
        <f>HYPERLINK("https://youtube.com/EnriquePenaNietoTV","https://youtube.com/EnriquePenaNietoTV")</f>
        <v>https://youtube.com/EnriquePenaNietoTV</v>
      </c>
      <c r="F161" s="46"/>
      <c r="G161" s="46"/>
      <c r="H161" s="3" t="s">
        <v>626</v>
      </c>
      <c r="I161" s="46"/>
      <c r="J161" s="18" t="s">
        <v>475</v>
      </c>
      <c r="K161" s="46"/>
      <c r="L161" s="46"/>
      <c r="M161" s="46"/>
      <c r="N161" s="46"/>
      <c r="O161" s="46"/>
      <c r="P161" s="64"/>
      <c r="CP161" s="44"/>
      <c r="CQ161" s="44"/>
      <c r="CR161" s="44"/>
      <c r="CS161" s="44"/>
      <c r="CT161" s="44"/>
      <c r="CU161" s="44"/>
      <c r="CV161" s="44"/>
      <c r="CW161" s="44"/>
      <c r="CX161" s="44"/>
      <c r="CY161" s="44"/>
    </row>
    <row r="162" spans="1:103" ht="15" customHeight="1" x14ac:dyDescent="0.35">
      <c r="A162" s="45" t="s">
        <v>276</v>
      </c>
      <c r="B162" s="46" t="s">
        <v>250</v>
      </c>
      <c r="C162" s="74" t="s">
        <v>276</v>
      </c>
      <c r="D162" s="74"/>
      <c r="E162" s="2" t="s">
        <v>476</v>
      </c>
      <c r="F162" s="3" t="str">
        <f>HYPERLINK("https://youtube.com/GobiernoNacionalPTY","https://youtube.com/GobiernoNacionalPTY")</f>
        <v>https://youtube.com/GobiernoNacionalPTY</v>
      </c>
      <c r="G162" s="46"/>
      <c r="H162" s="18"/>
      <c r="I162" s="46"/>
      <c r="J162" s="3" t="str">
        <f>HYPERLINK("https://youtube.com/minrexpanama","https://youtube.com/minrexpanama")</f>
        <v>https://youtube.com/minrexpanama</v>
      </c>
      <c r="K162" s="46"/>
      <c r="L162" s="46"/>
      <c r="M162" s="46"/>
      <c r="N162" s="46"/>
      <c r="O162" s="46"/>
      <c r="P162" s="64"/>
      <c r="CP162" s="44"/>
      <c r="CQ162" s="44"/>
      <c r="CR162" s="44"/>
      <c r="CS162" s="44"/>
      <c r="CT162" s="44"/>
      <c r="CU162" s="44"/>
      <c r="CV162" s="44"/>
      <c r="CW162" s="44"/>
      <c r="CX162" s="44"/>
      <c r="CY162" s="44"/>
    </row>
    <row r="163" spans="1:103" ht="15" customHeight="1" x14ac:dyDescent="0.35">
      <c r="A163" s="45" t="s">
        <v>280</v>
      </c>
      <c r="B163" s="46" t="s">
        <v>250</v>
      </c>
      <c r="C163" s="74" t="s">
        <v>280</v>
      </c>
      <c r="D163" s="74"/>
      <c r="E163" s="46"/>
      <c r="F163" s="46"/>
      <c r="G163" s="46"/>
      <c r="H163" s="46" t="s">
        <v>703</v>
      </c>
      <c r="I163" s="46"/>
      <c r="J163" s="46"/>
      <c r="K163" s="46"/>
      <c r="L163" s="46"/>
      <c r="M163" s="46"/>
      <c r="N163" s="46"/>
      <c r="O163" s="46"/>
      <c r="P163" s="64"/>
      <c r="CP163" s="44"/>
      <c r="CQ163" s="44"/>
      <c r="CR163" s="44"/>
      <c r="CS163" s="44"/>
      <c r="CT163" s="44"/>
      <c r="CU163" s="44"/>
      <c r="CV163" s="44"/>
      <c r="CW163" s="44"/>
      <c r="CX163" s="44"/>
      <c r="CY163" s="44"/>
    </row>
    <row r="164" spans="1:103" ht="15" customHeight="1" x14ac:dyDescent="0.35">
      <c r="A164" s="45" t="s">
        <v>281</v>
      </c>
      <c r="B164" s="46" t="s">
        <v>250</v>
      </c>
      <c r="C164" s="74" t="s">
        <v>281</v>
      </c>
      <c r="D164" s="74"/>
      <c r="E164" s="4"/>
      <c r="F164" s="46"/>
      <c r="G164" s="46"/>
      <c r="H164" s="7" t="s">
        <v>478</v>
      </c>
      <c r="I164" s="46"/>
      <c r="J164" s="46"/>
      <c r="K164" s="46"/>
      <c r="L164" s="46"/>
      <c r="M164" s="46"/>
      <c r="N164" s="46"/>
      <c r="O164" s="46"/>
      <c r="P164" s="64"/>
      <c r="CP164" s="44"/>
      <c r="CQ164" s="44"/>
      <c r="CR164" s="44"/>
      <c r="CS164" s="44"/>
      <c r="CT164" s="44"/>
      <c r="CU164" s="44"/>
      <c r="CV164" s="44"/>
      <c r="CW164" s="44"/>
      <c r="CX164" s="44"/>
      <c r="CY164" s="44"/>
    </row>
    <row r="165" spans="1:103" ht="15" customHeight="1" x14ac:dyDescent="0.35">
      <c r="A165" s="45" t="s">
        <v>666</v>
      </c>
      <c r="B165" s="46" t="s">
        <v>250</v>
      </c>
      <c r="C165" s="74" t="s">
        <v>666</v>
      </c>
      <c r="D165" s="74"/>
      <c r="E165" s="2"/>
      <c r="F165" s="46"/>
      <c r="G165" s="46"/>
      <c r="H165" s="46" t="s">
        <v>704</v>
      </c>
      <c r="I165" s="46"/>
      <c r="J165" s="46"/>
      <c r="K165" s="46"/>
      <c r="L165" s="46"/>
      <c r="M165" s="46"/>
      <c r="N165" s="46"/>
      <c r="O165" s="46"/>
      <c r="P165" s="64"/>
      <c r="CP165" s="44"/>
      <c r="CQ165" s="44"/>
      <c r="CR165" s="44"/>
      <c r="CS165" s="44"/>
      <c r="CT165" s="44"/>
      <c r="CU165" s="44"/>
      <c r="CV165" s="44"/>
      <c r="CW165" s="44"/>
      <c r="CX165" s="44"/>
      <c r="CY165" s="44"/>
    </row>
    <row r="166" spans="1:103" ht="15" customHeight="1" x14ac:dyDescent="0.35">
      <c r="A166" s="45" t="s">
        <v>283</v>
      </c>
      <c r="B166" s="46" t="s">
        <v>250</v>
      </c>
      <c r="C166" s="74" t="s">
        <v>283</v>
      </c>
      <c r="D166" s="74"/>
      <c r="E166" s="46"/>
      <c r="F166" s="46"/>
      <c r="G166" s="46"/>
      <c r="H166" s="18" t="s">
        <v>284</v>
      </c>
      <c r="I166" s="46"/>
      <c r="J166" s="8" t="s">
        <v>285</v>
      </c>
      <c r="K166" s="46"/>
      <c r="L166" s="46"/>
      <c r="M166" s="46"/>
      <c r="N166" s="46"/>
      <c r="O166" s="46"/>
      <c r="P166" s="64"/>
      <c r="CP166" s="44"/>
      <c r="CQ166" s="44"/>
      <c r="CR166" s="44"/>
      <c r="CS166" s="44"/>
      <c r="CT166" s="44"/>
      <c r="CU166" s="44"/>
      <c r="CV166" s="44"/>
      <c r="CW166" s="44"/>
      <c r="CX166" s="44"/>
      <c r="CY166" s="44"/>
    </row>
    <row r="167" spans="1:103" ht="15" customHeight="1" thickBot="1" x14ac:dyDescent="0.4">
      <c r="A167" s="57" t="s">
        <v>286</v>
      </c>
      <c r="B167" s="58" t="s">
        <v>250</v>
      </c>
      <c r="C167" s="173" t="s">
        <v>286</v>
      </c>
      <c r="D167" s="173"/>
      <c r="E167" s="178" t="s">
        <v>287</v>
      </c>
      <c r="F167" s="160" t="str">
        <f>HYPERLINK("https://youtube.com/whitehouse","https://youtube.com/whitehouse")</f>
        <v>https://youtube.com/whitehouse</v>
      </c>
      <c r="G167" s="58"/>
      <c r="H167" s="179"/>
      <c r="I167" s="58"/>
      <c r="J167" s="160" t="str">
        <f>HYPERLINK("https://youtube.com/statevideo","https://youtube.com/statevideo")</f>
        <v>https://youtube.com/statevideo</v>
      </c>
      <c r="K167" s="58"/>
      <c r="L167" s="58"/>
      <c r="M167" s="58"/>
      <c r="N167" s="58"/>
      <c r="O167" s="58"/>
      <c r="P167" s="180" t="s">
        <v>290</v>
      </c>
      <c r="CP167" s="44"/>
      <c r="CQ167" s="44"/>
      <c r="CR167" s="44"/>
      <c r="CS167" s="44"/>
      <c r="CT167" s="44"/>
      <c r="CU167" s="44"/>
      <c r="CV167" s="44"/>
      <c r="CW167" s="44"/>
      <c r="CX167" s="44"/>
      <c r="CY167" s="44"/>
    </row>
    <row r="168" spans="1:103" ht="15" customHeight="1" x14ac:dyDescent="0.35">
      <c r="A168" s="42" t="s">
        <v>252</v>
      </c>
      <c r="B168" s="43" t="s">
        <v>250</v>
      </c>
      <c r="C168" s="165"/>
      <c r="D168" s="165" t="s">
        <v>252</v>
      </c>
      <c r="E168" s="53"/>
      <c r="F168" s="43"/>
      <c r="G168" s="51"/>
      <c r="H168" s="51"/>
      <c r="I168" s="43"/>
      <c r="J168" s="43"/>
      <c r="K168" s="43"/>
      <c r="L168" s="43"/>
      <c r="M168" s="43"/>
      <c r="N168" s="43"/>
      <c r="O168" s="43"/>
      <c r="P168" s="56"/>
      <c r="CP168" s="44"/>
      <c r="CQ168" s="44"/>
      <c r="CR168" s="44"/>
      <c r="CS168" s="44"/>
      <c r="CT168" s="44"/>
      <c r="CU168" s="44"/>
      <c r="CV168" s="44"/>
      <c r="CW168" s="44"/>
      <c r="CX168" s="44"/>
      <c r="CY168" s="44"/>
    </row>
    <row r="169" spans="1:103" ht="15" customHeight="1" thickBot="1" x14ac:dyDescent="0.4">
      <c r="A169" s="57" t="s">
        <v>275</v>
      </c>
      <c r="B169" s="58" t="s">
        <v>250</v>
      </c>
      <c r="C169" s="173"/>
      <c r="D169" s="173" t="s">
        <v>275</v>
      </c>
      <c r="E169" s="69"/>
      <c r="F169" s="58"/>
      <c r="G169" s="58"/>
      <c r="H169" s="58"/>
      <c r="I169" s="58"/>
      <c r="J169" s="58"/>
      <c r="K169" s="58"/>
      <c r="L169" s="58"/>
      <c r="M169" s="58"/>
      <c r="N169" s="58"/>
      <c r="O169" s="58"/>
      <c r="P169" s="59"/>
      <c r="CP169" s="44"/>
      <c r="CQ169" s="44"/>
      <c r="CR169" s="44"/>
      <c r="CS169" s="44"/>
      <c r="CT169" s="44"/>
      <c r="CU169" s="44"/>
      <c r="CV169" s="44"/>
      <c r="CW169" s="44"/>
      <c r="CX169" s="44"/>
      <c r="CY169" s="44"/>
    </row>
    <row r="170" spans="1:103" ht="15" customHeight="1" x14ac:dyDescent="0.35">
      <c r="A170" s="42" t="s">
        <v>292</v>
      </c>
      <c r="B170" s="43" t="s">
        <v>291</v>
      </c>
      <c r="C170" s="165" t="s">
        <v>292</v>
      </c>
      <c r="D170" s="165"/>
      <c r="E170" s="53"/>
      <c r="F170" s="43"/>
      <c r="G170" s="51" t="s">
        <v>479</v>
      </c>
      <c r="H170" s="53"/>
      <c r="I170" s="52"/>
      <c r="J170" s="50" t="str">
        <f>HYPERLINK("https://youtube.com/dfat","https://youtube.com/dfat")</f>
        <v>https://youtube.com/dfat</v>
      </c>
      <c r="K170" s="43"/>
      <c r="L170" s="43"/>
      <c r="M170" s="43"/>
      <c r="N170" s="43"/>
      <c r="O170" s="43"/>
      <c r="P170" s="56"/>
      <c r="CP170" s="44"/>
      <c r="CQ170" s="44"/>
      <c r="CR170" s="44"/>
      <c r="CS170" s="44"/>
      <c r="CT170" s="44"/>
      <c r="CU170" s="44"/>
      <c r="CV170" s="44"/>
      <c r="CW170" s="44"/>
      <c r="CX170" s="44"/>
      <c r="CY170" s="44"/>
    </row>
    <row r="171" spans="1:103" ht="15" customHeight="1" x14ac:dyDescent="0.35">
      <c r="A171" s="45" t="s">
        <v>294</v>
      </c>
      <c r="B171" s="46" t="s">
        <v>291</v>
      </c>
      <c r="C171" s="74" t="s">
        <v>294</v>
      </c>
      <c r="D171" s="74"/>
      <c r="E171" s="46"/>
      <c r="F171" s="46"/>
      <c r="G171" s="46"/>
      <c r="H171" s="3" t="str">
        <f>HYPERLINK("https://youtube.com/minfofiji","https://youtube.com/minfofiji")</f>
        <v>https://youtube.com/minfofiji</v>
      </c>
      <c r="I171" s="46"/>
      <c r="J171" s="3" t="str">
        <f>HYPERLINK("https://youtube.com/foreignaffairsfiji","https://youtube.com/foreignaffairsfiji")</f>
        <v>https://youtube.com/foreignaffairsfiji</v>
      </c>
      <c r="K171" s="46"/>
      <c r="L171" s="46"/>
      <c r="M171" s="46"/>
      <c r="N171" s="46"/>
      <c r="O171" s="46"/>
      <c r="P171" s="64"/>
      <c r="CP171" s="44"/>
      <c r="CQ171" s="44"/>
      <c r="CR171" s="44"/>
      <c r="CS171" s="44"/>
      <c r="CT171" s="44"/>
      <c r="CU171" s="44"/>
      <c r="CV171" s="44"/>
      <c r="CW171" s="44"/>
      <c r="CX171" s="44"/>
      <c r="CY171" s="44"/>
    </row>
    <row r="172" spans="1:103" ht="15" customHeight="1" x14ac:dyDescent="0.35">
      <c r="A172" s="45" t="s">
        <v>298</v>
      </c>
      <c r="B172" s="46" t="s">
        <v>291</v>
      </c>
      <c r="C172" s="74" t="s">
        <v>298</v>
      </c>
      <c r="D172" s="74"/>
      <c r="E172" s="46"/>
      <c r="F172" s="46"/>
      <c r="G172" s="46" t="s">
        <v>705</v>
      </c>
      <c r="H172" s="46"/>
      <c r="I172" s="46"/>
      <c r="J172" s="46"/>
      <c r="K172" s="46"/>
      <c r="L172" s="46"/>
      <c r="M172" s="46"/>
      <c r="N172" s="46"/>
      <c r="O172" s="46"/>
      <c r="P172" s="64"/>
      <c r="CP172" s="44"/>
      <c r="CQ172" s="44"/>
      <c r="CR172" s="44"/>
      <c r="CS172" s="44"/>
      <c r="CT172" s="44"/>
      <c r="CU172" s="44"/>
      <c r="CV172" s="44"/>
      <c r="CW172" s="44"/>
      <c r="CX172" s="44"/>
      <c r="CY172" s="44"/>
    </row>
    <row r="173" spans="1:103" ht="15" customHeight="1" x14ac:dyDescent="0.35">
      <c r="A173" s="45" t="s">
        <v>300</v>
      </c>
      <c r="B173" s="46" t="s">
        <v>291</v>
      </c>
      <c r="C173" s="74" t="s">
        <v>300</v>
      </c>
      <c r="D173" s="74"/>
      <c r="E173" s="46"/>
      <c r="F173" s="46"/>
      <c r="G173" s="46"/>
      <c r="H173" s="18" t="s">
        <v>480</v>
      </c>
      <c r="I173" s="46"/>
      <c r="J173" s="46"/>
      <c r="K173" s="46"/>
      <c r="L173" s="46"/>
      <c r="M173" s="46"/>
      <c r="N173" s="46"/>
      <c r="O173" s="46"/>
      <c r="P173" s="64"/>
      <c r="CP173" s="44"/>
      <c r="CQ173" s="44"/>
      <c r="CR173" s="44"/>
      <c r="CS173" s="44"/>
      <c r="CT173" s="44"/>
      <c r="CU173" s="44"/>
      <c r="CV173" s="44"/>
      <c r="CW173" s="44"/>
      <c r="CX173" s="44"/>
      <c r="CY173" s="44"/>
    </row>
    <row r="174" spans="1:103" ht="15" customHeight="1" thickBot="1" x14ac:dyDescent="0.4">
      <c r="A174" s="57" t="s">
        <v>304</v>
      </c>
      <c r="B174" s="58" t="s">
        <v>291</v>
      </c>
      <c r="C174" s="173" t="s">
        <v>304</v>
      </c>
      <c r="D174" s="173"/>
      <c r="E174" s="58"/>
      <c r="F174" s="58"/>
      <c r="G174" s="58"/>
      <c r="H174" s="160" t="str">
        <f>HYPERLINK("https://youtube.com/vanuatugovernment","https://youtube.com/vanuatugovernment")</f>
        <v>https://youtube.com/vanuatugovernment</v>
      </c>
      <c r="I174" s="58"/>
      <c r="J174" s="58"/>
      <c r="K174" s="58"/>
      <c r="L174" s="58"/>
      <c r="M174" s="58"/>
      <c r="N174" s="58"/>
      <c r="O174" s="58"/>
      <c r="P174" s="59"/>
      <c r="CP174" s="44"/>
      <c r="CQ174" s="44"/>
      <c r="CR174" s="44"/>
      <c r="CS174" s="44"/>
      <c r="CT174" s="44"/>
      <c r="CU174" s="44"/>
      <c r="CV174" s="44"/>
      <c r="CW174" s="44"/>
      <c r="CX174" s="44"/>
      <c r="CY174" s="44"/>
    </row>
    <row r="175" spans="1:103" ht="15" customHeight="1" x14ac:dyDescent="0.35">
      <c r="A175" s="42" t="s">
        <v>667</v>
      </c>
      <c r="B175" s="43" t="s">
        <v>291</v>
      </c>
      <c r="C175" s="165"/>
      <c r="D175" s="165" t="s">
        <v>667</v>
      </c>
      <c r="E175" s="53"/>
      <c r="F175" s="43"/>
      <c r="G175" s="53"/>
      <c r="H175" s="43"/>
      <c r="I175" s="43"/>
      <c r="J175" s="43"/>
      <c r="K175" s="43"/>
      <c r="L175" s="43"/>
      <c r="M175" s="43"/>
      <c r="N175" s="43"/>
      <c r="O175" s="43"/>
      <c r="P175" s="56"/>
      <c r="CP175" s="44"/>
      <c r="CQ175" s="44"/>
      <c r="CR175" s="44"/>
      <c r="CS175" s="44"/>
      <c r="CT175" s="44"/>
      <c r="CU175" s="44"/>
      <c r="CV175" s="44"/>
      <c r="CW175" s="44"/>
      <c r="CX175" s="44"/>
      <c r="CY175" s="44"/>
    </row>
    <row r="176" spans="1:103" ht="15" customHeight="1" x14ac:dyDescent="0.35">
      <c r="A176" s="45" t="s">
        <v>296</v>
      </c>
      <c r="B176" s="46" t="s">
        <v>291</v>
      </c>
      <c r="C176" s="74"/>
      <c r="D176" s="74" t="s">
        <v>296</v>
      </c>
      <c r="E176" s="2"/>
      <c r="F176" s="46"/>
      <c r="G176" s="46"/>
      <c r="H176" s="46"/>
      <c r="I176" s="46"/>
      <c r="J176" s="46"/>
      <c r="K176" s="46"/>
      <c r="L176" s="46"/>
      <c r="M176" s="46"/>
      <c r="N176" s="46"/>
      <c r="O176" s="46"/>
      <c r="P176" s="64"/>
      <c r="CP176" s="44"/>
      <c r="CQ176" s="44"/>
      <c r="CR176" s="44"/>
      <c r="CS176" s="44"/>
      <c r="CT176" s="44"/>
      <c r="CU176" s="44"/>
      <c r="CV176" s="44"/>
      <c r="CW176" s="44"/>
      <c r="CX176" s="44"/>
      <c r="CY176" s="44"/>
    </row>
    <row r="177" spans="1:103" ht="15" customHeight="1" x14ac:dyDescent="0.35">
      <c r="A177" s="45" t="s">
        <v>668</v>
      </c>
      <c r="B177" s="46" t="s">
        <v>291</v>
      </c>
      <c r="C177" s="74"/>
      <c r="D177" s="74" t="s">
        <v>668</v>
      </c>
      <c r="E177" s="46"/>
      <c r="F177" s="46"/>
      <c r="G177" s="46"/>
      <c r="H177" s="46"/>
      <c r="I177" s="46"/>
      <c r="J177" s="46"/>
      <c r="K177" s="46"/>
      <c r="L177" s="46"/>
      <c r="M177" s="46"/>
      <c r="N177" s="46"/>
      <c r="O177" s="46"/>
      <c r="P177" s="64"/>
      <c r="CP177" s="44"/>
      <c r="CQ177" s="44"/>
      <c r="CR177" s="44"/>
      <c r="CS177" s="44"/>
      <c r="CT177" s="44"/>
      <c r="CU177" s="44"/>
      <c r="CV177" s="44"/>
      <c r="CW177" s="44"/>
      <c r="CX177" s="44"/>
      <c r="CY177" s="44"/>
    </row>
    <row r="178" spans="1:103" ht="15" customHeight="1" x14ac:dyDescent="0.35">
      <c r="A178" s="45" t="s">
        <v>297</v>
      </c>
      <c r="B178" s="46" t="s">
        <v>291</v>
      </c>
      <c r="C178" s="74"/>
      <c r="D178" s="74" t="s">
        <v>297</v>
      </c>
      <c r="E178" s="7"/>
      <c r="F178" s="46"/>
      <c r="G178" s="46"/>
      <c r="H178" s="46"/>
      <c r="I178" s="46"/>
      <c r="J178" s="46"/>
      <c r="K178" s="46"/>
      <c r="L178" s="46"/>
      <c r="M178" s="46"/>
      <c r="N178" s="46"/>
      <c r="O178" s="46"/>
      <c r="P178" s="64"/>
      <c r="CP178" s="44"/>
      <c r="CQ178" s="44"/>
      <c r="CR178" s="44"/>
      <c r="CS178" s="44"/>
      <c r="CT178" s="44"/>
      <c r="CU178" s="44"/>
      <c r="CV178" s="44"/>
      <c r="CW178" s="44"/>
      <c r="CX178" s="44"/>
      <c r="CY178" s="44"/>
    </row>
    <row r="179" spans="1:103" ht="15" customHeight="1" x14ac:dyDescent="0.35">
      <c r="A179" s="45" t="s">
        <v>299</v>
      </c>
      <c r="B179" s="46" t="s">
        <v>291</v>
      </c>
      <c r="C179" s="74"/>
      <c r="D179" s="74" t="s">
        <v>299</v>
      </c>
      <c r="E179" s="46"/>
      <c r="F179" s="46"/>
      <c r="G179" s="46"/>
      <c r="H179" s="46"/>
      <c r="I179" s="46"/>
      <c r="J179" s="46"/>
      <c r="K179" s="46"/>
      <c r="L179" s="46"/>
      <c r="M179" s="46"/>
      <c r="N179" s="46"/>
      <c r="O179" s="46"/>
      <c r="P179" s="64"/>
      <c r="CP179" s="44"/>
      <c r="CQ179" s="44"/>
      <c r="CR179" s="44"/>
      <c r="CS179" s="44"/>
      <c r="CT179" s="44"/>
      <c r="CU179" s="44"/>
      <c r="CV179" s="44"/>
      <c r="CW179" s="44"/>
      <c r="CX179" s="44"/>
      <c r="CY179" s="44"/>
    </row>
    <row r="180" spans="1:103" ht="15" customHeight="1" x14ac:dyDescent="0.35">
      <c r="A180" s="45" t="s">
        <v>301</v>
      </c>
      <c r="B180" s="46" t="s">
        <v>291</v>
      </c>
      <c r="C180" s="74"/>
      <c r="D180" s="74" t="s">
        <v>301</v>
      </c>
      <c r="E180" s="46"/>
      <c r="F180" s="46"/>
      <c r="G180" s="46"/>
      <c r="H180" s="46"/>
      <c r="I180" s="46"/>
      <c r="J180" s="46"/>
      <c r="K180" s="46"/>
      <c r="L180" s="46"/>
      <c r="M180" s="46"/>
      <c r="N180" s="46"/>
      <c r="O180" s="46"/>
      <c r="P180" s="64"/>
      <c r="CP180" s="44"/>
      <c r="CQ180" s="44"/>
      <c r="CR180" s="44"/>
      <c r="CS180" s="44"/>
      <c r="CT180" s="44"/>
      <c r="CU180" s="44"/>
      <c r="CV180" s="44"/>
      <c r="CW180" s="44"/>
      <c r="CX180" s="44"/>
      <c r="CY180" s="44"/>
    </row>
    <row r="181" spans="1:103" ht="15" customHeight="1" x14ac:dyDescent="0.35">
      <c r="A181" s="45" t="s">
        <v>302</v>
      </c>
      <c r="B181" s="46" t="s">
        <v>291</v>
      </c>
      <c r="C181" s="74"/>
      <c r="D181" s="74" t="s">
        <v>302</v>
      </c>
      <c r="E181" s="46"/>
      <c r="F181" s="46"/>
      <c r="G181" s="46"/>
      <c r="H181" s="46"/>
      <c r="I181" s="46"/>
      <c r="J181" s="46"/>
      <c r="K181" s="46"/>
      <c r="L181" s="46"/>
      <c r="M181" s="46"/>
      <c r="N181" s="46"/>
      <c r="O181" s="46"/>
      <c r="P181" s="64"/>
      <c r="CP181" s="44"/>
      <c r="CQ181" s="44"/>
      <c r="CR181" s="44"/>
      <c r="CS181" s="44"/>
      <c r="CT181" s="44"/>
      <c r="CU181" s="44"/>
      <c r="CV181" s="44"/>
      <c r="CW181" s="44"/>
      <c r="CX181" s="44"/>
      <c r="CY181" s="44"/>
    </row>
    <row r="182" spans="1:103" ht="15" customHeight="1" thickBot="1" x14ac:dyDescent="0.4">
      <c r="A182" s="57" t="s">
        <v>303</v>
      </c>
      <c r="B182" s="58" t="s">
        <v>291</v>
      </c>
      <c r="C182" s="173"/>
      <c r="D182" s="173" t="s">
        <v>303</v>
      </c>
      <c r="E182" s="58"/>
      <c r="F182" s="58"/>
      <c r="G182" s="58"/>
      <c r="H182" s="58"/>
      <c r="I182" s="58"/>
      <c r="J182" s="58"/>
      <c r="K182" s="58"/>
      <c r="L182" s="58"/>
      <c r="M182" s="58"/>
      <c r="N182" s="58"/>
      <c r="O182" s="58"/>
      <c r="P182" s="59"/>
      <c r="CP182" s="44"/>
      <c r="CQ182" s="44"/>
      <c r="CR182" s="44"/>
      <c r="CS182" s="44"/>
      <c r="CT182" s="44"/>
      <c r="CU182" s="44"/>
      <c r="CV182" s="44"/>
      <c r="CW182" s="44"/>
      <c r="CX182" s="44"/>
      <c r="CY182" s="44"/>
    </row>
    <row r="183" spans="1:103" ht="15" customHeight="1" x14ac:dyDescent="0.35">
      <c r="A183" s="42" t="s">
        <v>306</v>
      </c>
      <c r="B183" s="43" t="s">
        <v>305</v>
      </c>
      <c r="C183" s="165" t="s">
        <v>306</v>
      </c>
      <c r="D183" s="165"/>
      <c r="E183" s="48" t="s">
        <v>307</v>
      </c>
      <c r="F183" s="50" t="str">
        <f>HYPERLINK("https://youtube.com/casarosada","https://youtube.com/casarosada")</f>
        <v>https://youtube.com/casarosada</v>
      </c>
      <c r="G183" s="43"/>
      <c r="H183" s="43"/>
      <c r="I183" s="43"/>
      <c r="J183" s="50" t="str">
        <f>HYPERLINK("https://youtube.com/MRECICARG","https://youtube.com/MRECICARG")</f>
        <v>https://youtube.com/MRECICARG</v>
      </c>
      <c r="K183" s="43"/>
      <c r="L183" s="43"/>
      <c r="M183" s="43"/>
      <c r="N183" s="43"/>
      <c r="O183" s="43"/>
      <c r="P183" s="56"/>
      <c r="CP183" s="44"/>
      <c r="CQ183" s="44"/>
      <c r="CR183" s="44"/>
      <c r="CS183" s="44"/>
      <c r="CT183" s="44"/>
      <c r="CU183" s="44"/>
      <c r="CV183" s="44"/>
      <c r="CW183" s="44"/>
      <c r="CX183" s="44"/>
      <c r="CY183" s="44"/>
    </row>
    <row r="184" spans="1:103" ht="15" customHeight="1" x14ac:dyDescent="0.35">
      <c r="A184" s="45" t="s">
        <v>308</v>
      </c>
      <c r="B184" s="46" t="s">
        <v>305</v>
      </c>
      <c r="C184" s="74" t="s">
        <v>308</v>
      </c>
      <c r="D184" s="74"/>
      <c r="E184" s="46"/>
      <c r="F184" s="46"/>
      <c r="G184" s="46"/>
      <c r="H184" s="8" t="s">
        <v>309</v>
      </c>
      <c r="I184" s="46"/>
      <c r="J184" s="46"/>
      <c r="K184" s="46"/>
      <c r="L184" s="46"/>
      <c r="M184" s="46"/>
      <c r="N184" s="46"/>
      <c r="O184" s="46"/>
      <c r="P184" s="64"/>
      <c r="CP184" s="44"/>
      <c r="CQ184" s="44"/>
      <c r="CR184" s="44"/>
      <c r="CS184" s="44"/>
      <c r="CT184" s="44"/>
      <c r="CU184" s="44"/>
      <c r="CV184" s="44"/>
      <c r="CW184" s="44"/>
      <c r="CX184" s="44"/>
      <c r="CY184" s="44"/>
    </row>
    <row r="185" spans="1:103" ht="15" customHeight="1" x14ac:dyDescent="0.35">
      <c r="A185" s="45" t="s">
        <v>310</v>
      </c>
      <c r="B185" s="46" t="s">
        <v>305</v>
      </c>
      <c r="C185" s="74" t="s">
        <v>310</v>
      </c>
      <c r="D185" s="74"/>
      <c r="E185" s="7" t="s">
        <v>481</v>
      </c>
      <c r="F185" s="7" t="s">
        <v>482</v>
      </c>
      <c r="G185" s="46"/>
      <c r="H185" s="7" t="s">
        <v>627</v>
      </c>
      <c r="I185" s="46"/>
      <c r="J185" s="3" t="str">
        <f>HYPERLINK("https://youtube.com/mrebrasil","https://youtube.com/mrebrasil")</f>
        <v>https://youtube.com/mrebrasil</v>
      </c>
      <c r="K185" s="46"/>
      <c r="L185" s="46"/>
      <c r="M185" s="46"/>
      <c r="N185" s="46"/>
      <c r="O185" s="46"/>
      <c r="P185" s="64"/>
      <c r="CP185" s="44"/>
      <c r="CQ185" s="44"/>
      <c r="CR185" s="44"/>
      <c r="CS185" s="44"/>
      <c r="CT185" s="44"/>
      <c r="CU185" s="44"/>
      <c r="CV185" s="44"/>
      <c r="CW185" s="44"/>
      <c r="CX185" s="44"/>
      <c r="CY185" s="44"/>
    </row>
    <row r="186" spans="1:103" ht="15" customHeight="1" x14ac:dyDescent="0.35">
      <c r="A186" s="45" t="s">
        <v>312</v>
      </c>
      <c r="B186" s="46" t="s">
        <v>305</v>
      </c>
      <c r="C186" s="74" t="s">
        <v>312</v>
      </c>
      <c r="D186" s="74"/>
      <c r="E186" s="7" t="s">
        <v>483</v>
      </c>
      <c r="F186" s="46"/>
      <c r="G186" s="46"/>
      <c r="H186" s="3" t="str">
        <f>HYPERLINK("https://youtube.com/lamoneda","https://youtube.com/lamoneda")</f>
        <v>https://youtube.com/lamoneda</v>
      </c>
      <c r="I186" s="46"/>
      <c r="J186" s="46"/>
      <c r="K186" s="46"/>
      <c r="L186" s="46"/>
      <c r="M186" s="46"/>
      <c r="N186" s="46"/>
      <c r="O186" s="46"/>
      <c r="P186" s="64"/>
      <c r="CP186" s="44"/>
      <c r="CQ186" s="44"/>
      <c r="CR186" s="44"/>
      <c r="CS186" s="44"/>
      <c r="CT186" s="44"/>
      <c r="CU186" s="44"/>
      <c r="CV186" s="44"/>
      <c r="CW186" s="44"/>
      <c r="CX186" s="44"/>
      <c r="CY186" s="44"/>
    </row>
    <row r="187" spans="1:103" ht="15" customHeight="1" x14ac:dyDescent="0.35">
      <c r="A187" s="45" t="s">
        <v>314</v>
      </c>
      <c r="B187" s="46" t="s">
        <v>305</v>
      </c>
      <c r="C187" s="74" t="s">
        <v>314</v>
      </c>
      <c r="D187" s="74"/>
      <c r="E187" s="2" t="s">
        <v>484</v>
      </c>
      <c r="F187" s="3" t="str">
        <f>HYPERLINK("https://youtube.com/sigcolombia","https://youtube.com/sigcolombia")</f>
        <v>https://youtube.com/sigcolombia</v>
      </c>
      <c r="G187" s="46"/>
      <c r="H187" s="46"/>
      <c r="I187" s="46"/>
      <c r="J187" s="3" t="str">
        <f>HYPERLINK("https://youtube.com/CancilleriaCol","https://youtube.com/CancilleriaCol")</f>
        <v>https://youtube.com/CancilleriaCol</v>
      </c>
      <c r="K187" s="46"/>
      <c r="L187" s="46"/>
      <c r="M187" s="46"/>
      <c r="N187" s="46"/>
      <c r="O187" s="46"/>
      <c r="P187" s="64"/>
      <c r="CP187" s="44"/>
      <c r="CQ187" s="44"/>
      <c r="CR187" s="44"/>
      <c r="CS187" s="44"/>
      <c r="CT187" s="44"/>
      <c r="CU187" s="44"/>
      <c r="CV187" s="44"/>
      <c r="CW187" s="44"/>
      <c r="CX187" s="44"/>
      <c r="CY187" s="44"/>
    </row>
    <row r="188" spans="1:103" ht="15" customHeight="1" x14ac:dyDescent="0.35">
      <c r="A188" s="45" t="s">
        <v>315</v>
      </c>
      <c r="B188" s="46" t="s">
        <v>305</v>
      </c>
      <c r="C188" s="74" t="s">
        <v>315</v>
      </c>
      <c r="D188" s="74"/>
      <c r="E188" s="8" t="s">
        <v>316</v>
      </c>
      <c r="F188" s="3" t="str">
        <f>HYPERLINK("https://youtube.com/presidenciaec","https://youtube.com/presidenciaec")</f>
        <v>https://youtube.com/presidenciaec</v>
      </c>
      <c r="G188" s="46"/>
      <c r="H188" s="4" t="s">
        <v>485</v>
      </c>
      <c r="I188" s="3" t="str">
        <f>HYPERLINK("https://youtube.com/RicardoPatinoA","https://youtube.com/RicardoPatinoA")</f>
        <v>https://youtube.com/RicardoPatinoA</v>
      </c>
      <c r="J188" s="3" t="str">
        <f>HYPERLINK("https://youtube.com/CancilleriaEcuador","https://youtube.com/CancilleriaEcuador")</f>
        <v>https://youtube.com/CancilleriaEcuador</v>
      </c>
      <c r="K188" s="46"/>
      <c r="L188" s="46"/>
      <c r="M188" s="46"/>
      <c r="N188" s="46"/>
      <c r="O188" s="46"/>
      <c r="P188" s="64"/>
      <c r="CP188" s="44"/>
      <c r="CQ188" s="44"/>
      <c r="CR188" s="44"/>
      <c r="CS188" s="44"/>
      <c r="CT188" s="44"/>
      <c r="CU188" s="44"/>
      <c r="CV188" s="44"/>
      <c r="CW188" s="44"/>
      <c r="CX188" s="44"/>
      <c r="CY188" s="44"/>
    </row>
    <row r="189" spans="1:103" ht="15" customHeight="1" x14ac:dyDescent="0.35">
      <c r="A189" s="45" t="s">
        <v>318</v>
      </c>
      <c r="B189" s="46" t="s">
        <v>305</v>
      </c>
      <c r="C189" s="74" t="s">
        <v>318</v>
      </c>
      <c r="D189" s="74"/>
      <c r="E189" s="46"/>
      <c r="F189" s="3" t="str">
        <f>HYPERLINK("https://youtube.com/channel/UCv3Sy8PzrAlxncQ9BjOYi9A","https://youtube.com/channel/UCv3Sy8PzrAlxncQ9BjOYi9A")</f>
        <v>https://youtube.com/channel/UCv3Sy8PzrAlxncQ9BjOYi9A</v>
      </c>
      <c r="G189" s="46"/>
      <c r="H189" s="46"/>
      <c r="I189" s="46"/>
      <c r="J189" s="8" t="s">
        <v>319</v>
      </c>
      <c r="K189" s="46"/>
      <c r="L189" s="46"/>
      <c r="M189" s="46"/>
      <c r="N189" s="46"/>
      <c r="O189" s="46"/>
      <c r="P189" s="64"/>
      <c r="CP189" s="44"/>
      <c r="CQ189" s="44"/>
      <c r="CR189" s="44"/>
      <c r="CS189" s="44"/>
      <c r="CT189" s="44"/>
      <c r="CU189" s="44"/>
      <c r="CV189" s="44"/>
      <c r="CW189" s="44"/>
      <c r="CX189" s="44"/>
      <c r="CY189" s="44"/>
    </row>
    <row r="190" spans="1:103" ht="15" customHeight="1" x14ac:dyDescent="0.35">
      <c r="A190" s="45" t="s">
        <v>320</v>
      </c>
      <c r="B190" s="46" t="s">
        <v>305</v>
      </c>
      <c r="C190" s="74" t="s">
        <v>320</v>
      </c>
      <c r="D190" s="74"/>
      <c r="E190" s="46"/>
      <c r="F190" s="3" t="str">
        <f>HYPERLINK("https://youtube.com/PresidenciaPeru","https://youtube.com/PresidenciaPeru")</f>
        <v>https://youtube.com/PresidenciaPeru</v>
      </c>
      <c r="G190" s="46"/>
      <c r="H190" s="7" t="s">
        <v>486</v>
      </c>
      <c r="I190" s="46"/>
      <c r="J190" s="3" t="str">
        <f>HYPERLINK("https://youtube.com/MREPeru","https://youtube.com/MREPeru")</f>
        <v>https://youtube.com/MREPeru</v>
      </c>
      <c r="K190" s="46"/>
      <c r="L190" s="46"/>
      <c r="M190" s="46"/>
      <c r="N190" s="46"/>
      <c r="O190" s="46"/>
      <c r="P190" s="64"/>
      <c r="CP190" s="44"/>
      <c r="CQ190" s="44"/>
      <c r="CR190" s="44"/>
      <c r="CS190" s="44"/>
      <c r="CT190" s="44"/>
      <c r="CU190" s="44"/>
      <c r="CV190" s="44"/>
      <c r="CW190" s="44"/>
      <c r="CX190" s="44"/>
      <c r="CY190" s="44"/>
    </row>
    <row r="191" spans="1:103" ht="15" customHeight="1" x14ac:dyDescent="0.35">
      <c r="A191" s="45" t="s">
        <v>322</v>
      </c>
      <c r="B191" s="46" t="s">
        <v>305</v>
      </c>
      <c r="C191" s="74" t="s">
        <v>322</v>
      </c>
      <c r="D191" s="74"/>
      <c r="F191" s="3" t="str">
        <f>HYPERLINK("https://youtube.com/Presidenciatv","https://youtube.com/Presidenciatv")</f>
        <v>https://youtube.com/Presidenciatv</v>
      </c>
      <c r="G191" s="46"/>
      <c r="H191" s="46"/>
      <c r="J191" s="3" t="str">
        <f>HYPERLINK("https://youtube.com/channel/UCKyBsWoYy4mcsL9x8gwVI1A","https://youtube.com/channel/UCKyBsWoYy4mcsL9x8gwVI1A")</f>
        <v>https://youtube.com/channel/UCKyBsWoYy4mcsL9x8gwVI1A</v>
      </c>
      <c r="L191" s="46"/>
      <c r="M191" s="46"/>
      <c r="N191" s="46"/>
      <c r="O191" s="46"/>
      <c r="P191" s="7" t="s">
        <v>631</v>
      </c>
      <c r="CP191" s="44"/>
      <c r="CQ191" s="44"/>
      <c r="CR191" s="44"/>
      <c r="CS191" s="44"/>
      <c r="CT191" s="44"/>
      <c r="CU191" s="44"/>
      <c r="CV191" s="44"/>
      <c r="CW191" s="44"/>
      <c r="CX191" s="44"/>
      <c r="CY191" s="44"/>
    </row>
    <row r="192" spans="1:103" ht="15" customHeight="1" thickBot="1" x14ac:dyDescent="0.4">
      <c r="A192" s="57" t="s">
        <v>323</v>
      </c>
      <c r="B192" s="58" t="s">
        <v>305</v>
      </c>
      <c r="C192" s="173" t="s">
        <v>323</v>
      </c>
      <c r="D192" s="173"/>
      <c r="E192" s="160" t="str">
        <f>HYPERLINK("https://youtube.com/maduromoros","https://youtube.com/maduromoros")</f>
        <v>https://youtube.com/maduromoros</v>
      </c>
      <c r="F192" s="58"/>
      <c r="G192" s="58"/>
      <c r="H192" s="58"/>
      <c r="I192" s="58"/>
      <c r="J192" s="160" t="str">
        <f>HYPERLINK("https://youtube.com/mpprevideos","https://youtube.com/mpprevideos")</f>
        <v>https://youtube.com/mpprevideos</v>
      </c>
      <c r="K192" s="58"/>
      <c r="L192" s="58"/>
      <c r="M192" s="58"/>
      <c r="N192" s="58"/>
      <c r="O192" s="58"/>
      <c r="P192" s="59"/>
      <c r="CP192" s="44"/>
      <c r="CQ192" s="44"/>
      <c r="CR192" s="44"/>
      <c r="CS192" s="44"/>
      <c r="CT192" s="44"/>
      <c r="CU192" s="44"/>
      <c r="CV192" s="44"/>
      <c r="CW192" s="44"/>
      <c r="CX192" s="44"/>
      <c r="CY192" s="44"/>
    </row>
    <row r="193" spans="1:103" ht="15" customHeight="1" x14ac:dyDescent="0.35">
      <c r="A193" s="42" t="s">
        <v>317</v>
      </c>
      <c r="B193" s="43" t="s">
        <v>305</v>
      </c>
      <c r="C193" s="165"/>
      <c r="D193" s="165" t="s">
        <v>317</v>
      </c>
      <c r="E193" s="43"/>
      <c r="F193" s="43"/>
      <c r="G193" s="43"/>
      <c r="H193" s="43"/>
      <c r="I193" s="43"/>
      <c r="J193" s="43"/>
      <c r="K193" s="43"/>
      <c r="L193" s="43"/>
      <c r="M193" s="43"/>
      <c r="N193" s="43"/>
      <c r="O193" s="43"/>
      <c r="P193" s="56"/>
      <c r="CP193" s="44"/>
      <c r="CQ193" s="44"/>
      <c r="CR193" s="44"/>
      <c r="CS193" s="44"/>
      <c r="CT193" s="44"/>
      <c r="CU193" s="44"/>
      <c r="CV193" s="44"/>
      <c r="CW193" s="44"/>
      <c r="CX193" s="44"/>
      <c r="CY193" s="44"/>
    </row>
    <row r="194" spans="1:103" ht="15" customHeight="1" thickBot="1" x14ac:dyDescent="0.4">
      <c r="A194" s="57" t="s">
        <v>321</v>
      </c>
      <c r="B194" s="58" t="s">
        <v>305</v>
      </c>
      <c r="C194" s="173"/>
      <c r="D194" s="173" t="s">
        <v>321</v>
      </c>
      <c r="E194" s="58"/>
      <c r="F194" s="58"/>
      <c r="G194" s="58"/>
      <c r="H194" s="58"/>
      <c r="I194" s="58"/>
      <c r="J194" s="174"/>
      <c r="K194" s="58"/>
      <c r="L194" s="58"/>
      <c r="M194" s="58"/>
      <c r="N194" s="58"/>
      <c r="O194" s="58"/>
      <c r="P194" s="59"/>
      <c r="CP194" s="44"/>
      <c r="CQ194" s="44"/>
      <c r="CR194" s="44"/>
      <c r="CS194" s="44"/>
      <c r="CT194" s="44"/>
      <c r="CU194" s="44"/>
      <c r="CV194" s="44"/>
      <c r="CW194" s="44"/>
      <c r="CX194" s="44"/>
      <c r="CY194" s="44"/>
    </row>
    <row r="195" spans="1:103" ht="15" customHeight="1" thickBot="1" x14ac:dyDescent="0.4">
      <c r="A195" s="60" t="s">
        <v>669</v>
      </c>
      <c r="B195" s="61"/>
      <c r="C195" s="61">
        <v>148</v>
      </c>
      <c r="D195" s="61">
        <v>45</v>
      </c>
      <c r="E195" s="61">
        <v>55</v>
      </c>
      <c r="F195" s="61">
        <v>56</v>
      </c>
      <c r="G195" s="61">
        <v>35</v>
      </c>
      <c r="H195" s="61">
        <v>80</v>
      </c>
      <c r="I195" s="61">
        <v>9</v>
      </c>
      <c r="J195" s="61">
        <v>65</v>
      </c>
      <c r="K195" s="61"/>
      <c r="L195" s="61"/>
      <c r="M195" s="61"/>
      <c r="N195" s="61"/>
      <c r="O195" s="61"/>
      <c r="P195" s="62"/>
      <c r="CP195" s="44"/>
      <c r="CQ195" s="44"/>
      <c r="CR195" s="44"/>
      <c r="CS195" s="44"/>
      <c r="CT195" s="44"/>
      <c r="CU195" s="44"/>
      <c r="CV195" s="44"/>
      <c r="CW195" s="44"/>
      <c r="CX195" s="44"/>
      <c r="CY195" s="44"/>
    </row>
    <row r="196" spans="1:103" ht="15" customHeight="1" thickBot="1" x14ac:dyDescent="0.4">
      <c r="E196" s="47"/>
      <c r="F196" s="47"/>
      <c r="G196" s="47"/>
      <c r="H196" s="47"/>
      <c r="I196" s="47"/>
      <c r="J196" s="47"/>
      <c r="K196" s="47"/>
      <c r="CP196" s="44"/>
      <c r="CQ196" s="44"/>
      <c r="CR196" s="44"/>
      <c r="CS196" s="44"/>
      <c r="CT196" s="44"/>
      <c r="CU196" s="44"/>
      <c r="CV196" s="44"/>
      <c r="CW196" s="44"/>
      <c r="CX196" s="44"/>
      <c r="CY196" s="44"/>
    </row>
    <row r="197" spans="1:103" ht="15" customHeight="1" x14ac:dyDescent="0.35">
      <c r="A197" s="42" t="s">
        <v>670</v>
      </c>
      <c r="B197" s="43" t="s">
        <v>160</v>
      </c>
      <c r="C197" s="43" t="s">
        <v>202</v>
      </c>
      <c r="D197" s="43"/>
      <c r="E197" s="50" t="str">
        <f>HYPERLINK("https://youtube.com/presidencakosoves","https://youtube.com/presidencakosoves")</f>
        <v>https://youtube.com/presidencakosoves</v>
      </c>
      <c r="F197" s="43"/>
      <c r="G197" s="49" t="s">
        <v>456</v>
      </c>
      <c r="H197" s="43"/>
      <c r="I197" s="63"/>
      <c r="J197" s="50" t="str">
        <f>HYPERLINK("https://youtube.com/MFAMPJMIP","https://youtube.com/channel/UCp_iicCGZGGs8fgmc1hMUYg (Old &amp; abandoned: https://youtube.com/MFAMPJMIP)")</f>
        <v>https://youtube.com/channel/UCp_iicCGZGGs8fgmc1hMUYg (Old &amp; abandoned: https://youtube.com/MFAMPJMIP)</v>
      </c>
      <c r="K197" s="43"/>
      <c r="L197" s="43"/>
      <c r="M197" s="43"/>
      <c r="N197" s="43"/>
      <c r="O197" s="43"/>
      <c r="P197" s="56"/>
      <c r="CP197" s="44"/>
      <c r="CQ197" s="44"/>
      <c r="CR197" s="44"/>
      <c r="CS197" s="44"/>
      <c r="CT197" s="44"/>
      <c r="CU197" s="44"/>
      <c r="CV197" s="44"/>
      <c r="CW197" s="44"/>
      <c r="CX197" s="44"/>
      <c r="CY197" s="44"/>
    </row>
    <row r="198" spans="1:103" ht="15" customHeight="1" x14ac:dyDescent="0.35">
      <c r="A198" s="45" t="s">
        <v>670</v>
      </c>
      <c r="B198" s="46" t="s">
        <v>160</v>
      </c>
      <c r="C198" s="46" t="s">
        <v>249</v>
      </c>
      <c r="D198" s="2"/>
      <c r="E198" s="46"/>
      <c r="F198" s="3" t="str">
        <f>HYPERLINK("https://youtube.com/vatican","https://youtube.com/vatican")</f>
        <v>https://youtube.com/vatican</v>
      </c>
      <c r="G198" s="46"/>
      <c r="H198" s="46"/>
      <c r="I198" s="46"/>
      <c r="J198" s="46"/>
      <c r="K198" s="46"/>
      <c r="L198" s="46" t="s">
        <v>671</v>
      </c>
      <c r="M198" s="46"/>
      <c r="N198" s="46"/>
      <c r="O198" s="46"/>
      <c r="P198" s="64"/>
      <c r="CP198" s="44"/>
      <c r="CQ198" s="44"/>
      <c r="CR198" s="44"/>
      <c r="CS198" s="44"/>
      <c r="CT198" s="44"/>
      <c r="CU198" s="44"/>
      <c r="CV198" s="44"/>
      <c r="CW198" s="44"/>
      <c r="CX198" s="44"/>
      <c r="CY198" s="44"/>
    </row>
    <row r="199" spans="1:103" ht="15" customHeight="1" x14ac:dyDescent="0.35">
      <c r="A199" s="45" t="s">
        <v>670</v>
      </c>
      <c r="B199" s="46" t="s">
        <v>73</v>
      </c>
      <c r="C199" s="46" t="s">
        <v>672</v>
      </c>
      <c r="D199" s="46"/>
      <c r="E199" s="46"/>
      <c r="F199" s="46"/>
      <c r="G199" s="65"/>
      <c r="H199" s="4" t="s">
        <v>447</v>
      </c>
      <c r="I199" s="46"/>
      <c r="J199" s="46"/>
      <c r="K199" s="46"/>
      <c r="L199" s="46"/>
      <c r="M199" s="46"/>
      <c r="N199" s="46"/>
      <c r="O199" s="46"/>
      <c r="P199" s="64"/>
      <c r="CP199" s="44"/>
      <c r="CQ199" s="44"/>
      <c r="CR199" s="44"/>
      <c r="CS199" s="44"/>
      <c r="CT199" s="44"/>
      <c r="CU199" s="44"/>
      <c r="CV199" s="44"/>
      <c r="CW199" s="44"/>
      <c r="CX199" s="44"/>
      <c r="CY199" s="44"/>
    </row>
    <row r="200" spans="1:103" ht="15" customHeight="1" x14ac:dyDescent="0.35">
      <c r="A200" s="45" t="s">
        <v>670</v>
      </c>
      <c r="B200" s="46" t="s">
        <v>160</v>
      </c>
      <c r="C200" s="46" t="s">
        <v>160</v>
      </c>
      <c r="D200" s="46"/>
      <c r="E200" s="46"/>
      <c r="F200" s="7" t="s">
        <v>180</v>
      </c>
      <c r="G200" s="66"/>
      <c r="H200" s="3" t="str">
        <f>HYPERLINK("https://youtube.com/eutube","https://youtube.com/eutube")</f>
        <v>https://youtube.com/eutube</v>
      </c>
      <c r="I200" s="67"/>
      <c r="J200" s="3" t="str">
        <f>HYPERLINK("https://youtube.com/EUExternalAction","https://youtube.com/EUExternalAction")</f>
        <v>https://youtube.com/EUExternalAction</v>
      </c>
      <c r="K200" s="66"/>
      <c r="L200" s="46"/>
      <c r="M200" s="46"/>
      <c r="N200" s="46"/>
      <c r="O200" s="46"/>
      <c r="P200" s="64"/>
      <c r="CP200" s="44"/>
      <c r="CQ200" s="44"/>
      <c r="CR200" s="44"/>
      <c r="CS200" s="44"/>
      <c r="CT200" s="44"/>
      <c r="CU200" s="44"/>
      <c r="CV200" s="44"/>
      <c r="CW200" s="44"/>
      <c r="CX200" s="44"/>
      <c r="CY200" s="44"/>
    </row>
    <row r="201" spans="1:103" ht="15" customHeight="1" thickBot="1" x14ac:dyDescent="0.4">
      <c r="A201" s="57" t="s">
        <v>670</v>
      </c>
      <c r="B201" s="58" t="s">
        <v>250</v>
      </c>
      <c r="C201" s="58" t="s">
        <v>277</v>
      </c>
      <c r="D201" s="58"/>
      <c r="E201" s="68"/>
      <c r="F201" s="69" t="s">
        <v>477</v>
      </c>
      <c r="G201" s="58"/>
      <c r="H201" s="58"/>
      <c r="I201" s="58"/>
      <c r="J201" s="58"/>
      <c r="K201" s="58"/>
      <c r="L201" s="58"/>
      <c r="M201" s="58"/>
      <c r="N201" s="58"/>
      <c r="O201" s="58"/>
      <c r="P201" s="59"/>
      <c r="CP201" s="44"/>
      <c r="CQ201" s="44"/>
      <c r="CR201" s="44"/>
      <c r="CS201" s="44"/>
      <c r="CT201" s="44"/>
      <c r="CU201" s="44"/>
      <c r="CV201" s="44"/>
      <c r="CW201" s="44"/>
      <c r="CX201" s="44"/>
      <c r="CY201" s="44"/>
    </row>
    <row r="202" spans="1:103" ht="15" customHeight="1" x14ac:dyDescent="0.35">
      <c r="CP202" s="44"/>
      <c r="CQ202" s="44"/>
      <c r="CR202" s="44"/>
      <c r="CS202" s="44"/>
      <c r="CT202" s="44"/>
      <c r="CU202" s="44"/>
      <c r="CV202" s="44"/>
      <c r="CW202" s="44"/>
      <c r="CX202" s="44"/>
      <c r="CY202" s="44"/>
    </row>
    <row r="203" spans="1:103" ht="15" customHeight="1" x14ac:dyDescent="0.35">
      <c r="A203" t="s">
        <v>673</v>
      </c>
      <c r="C203" t="s">
        <v>1141</v>
      </c>
      <c r="D203" t="s">
        <v>1142</v>
      </c>
      <c r="E203" t="s">
        <v>1143</v>
      </c>
      <c r="F203" t="s">
        <v>1144</v>
      </c>
      <c r="G203" t="s">
        <v>1145</v>
      </c>
      <c r="H203" t="s">
        <v>1146</v>
      </c>
      <c r="I203" t="s">
        <v>1147</v>
      </c>
      <c r="J203" t="s">
        <v>1148</v>
      </c>
      <c r="CP203" s="44"/>
      <c r="CQ203" s="44"/>
      <c r="CR203" s="44"/>
      <c r="CS203" s="44"/>
      <c r="CT203" s="44"/>
      <c r="CU203" s="44"/>
      <c r="CV203" s="44"/>
      <c r="CW203" s="44"/>
      <c r="CX203" s="44"/>
      <c r="CY203" s="44"/>
    </row>
    <row r="204" spans="1:103" ht="15" customHeight="1" x14ac:dyDescent="0.35">
      <c r="C204" t="s">
        <v>1140</v>
      </c>
      <c r="CP204" s="44"/>
      <c r="CQ204" s="44"/>
      <c r="CR204" s="44"/>
      <c r="CS204" s="44"/>
      <c r="CT204" s="44"/>
      <c r="CU204" s="44"/>
      <c r="CV204" s="44"/>
      <c r="CW204" s="44"/>
      <c r="CX204" s="44"/>
      <c r="CY204" s="44"/>
    </row>
    <row r="205" spans="1:103" ht="15" customHeight="1" x14ac:dyDescent="0.35">
      <c r="C205" t="s">
        <v>1149</v>
      </c>
      <c r="CP205" s="44"/>
      <c r="CQ205" s="44"/>
      <c r="CR205" s="44"/>
      <c r="CS205" s="44"/>
      <c r="CT205" s="44"/>
      <c r="CU205" s="44"/>
      <c r="CV205" s="44"/>
      <c r="CW205" s="44"/>
      <c r="CX205" s="44"/>
      <c r="CY205" s="44"/>
    </row>
    <row r="206" spans="1:103" ht="15" customHeight="1" thickBot="1" x14ac:dyDescent="0.4">
      <c r="CP206" s="44"/>
      <c r="CQ206" s="44"/>
      <c r="CR206" s="44"/>
      <c r="CS206" s="44"/>
      <c r="CT206" s="44"/>
      <c r="CU206" s="44"/>
      <c r="CV206" s="44"/>
      <c r="CW206" s="44"/>
      <c r="CX206" s="44"/>
      <c r="CY206" s="44"/>
    </row>
    <row r="207" spans="1:103" ht="15" customHeight="1" thickBot="1" x14ac:dyDescent="0.4">
      <c r="A207" s="70" t="s">
        <v>674</v>
      </c>
      <c r="B207" s="71"/>
      <c r="C207" s="71" t="s">
        <v>1131</v>
      </c>
      <c r="D207" s="71" t="s">
        <v>1132</v>
      </c>
      <c r="E207" s="71"/>
      <c r="F207" s="72"/>
      <c r="CP207" s="44"/>
      <c r="CQ207" s="44"/>
      <c r="CR207" s="44"/>
      <c r="CS207" s="44"/>
      <c r="CT207" s="44"/>
      <c r="CU207" s="44"/>
      <c r="CV207" s="44"/>
      <c r="CW207" s="44"/>
      <c r="CX207" s="44"/>
      <c r="CY207" s="44"/>
    </row>
    <row r="208" spans="1:103" ht="15" customHeight="1" x14ac:dyDescent="0.35">
      <c r="A208" s="42" t="s">
        <v>673</v>
      </c>
      <c r="B208" s="43">
        <v>193</v>
      </c>
      <c r="C208" s="43">
        <v>148</v>
      </c>
      <c r="D208" s="43">
        <f>SUM(B208-C208)</f>
        <v>45</v>
      </c>
      <c r="E208" s="73">
        <f t="shared" ref="E208:E214" si="0">SUM(C208/B208)*100</f>
        <v>76.683937823834185</v>
      </c>
      <c r="F208" s="56" t="s">
        <v>1133</v>
      </c>
      <c r="CP208" s="44"/>
      <c r="CQ208" s="44"/>
      <c r="CR208" s="44"/>
      <c r="CS208" s="44"/>
      <c r="CT208" s="44"/>
      <c r="CU208" s="44"/>
      <c r="CV208" s="44"/>
      <c r="CW208" s="44"/>
      <c r="CX208" s="44"/>
      <c r="CY208" s="44"/>
    </row>
    <row r="209" spans="1:103" ht="15" customHeight="1" x14ac:dyDescent="0.35">
      <c r="A209" s="45" t="s">
        <v>675</v>
      </c>
      <c r="B209" s="46">
        <v>53</v>
      </c>
      <c r="C209" s="46">
        <v>35</v>
      </c>
      <c r="D209" s="46">
        <v>16</v>
      </c>
      <c r="E209" s="75">
        <f t="shared" si="0"/>
        <v>66.037735849056602</v>
      </c>
      <c r="F209" s="64" t="s">
        <v>1134</v>
      </c>
      <c r="CP209" s="44"/>
      <c r="CQ209" s="44"/>
      <c r="CR209" s="44"/>
      <c r="CS209" s="44"/>
      <c r="CT209" s="44"/>
      <c r="CU209" s="44"/>
      <c r="CV209" s="44"/>
      <c r="CW209" s="44"/>
      <c r="CX209" s="44"/>
      <c r="CY209" s="44"/>
    </row>
    <row r="210" spans="1:103" ht="15" customHeight="1" x14ac:dyDescent="0.35">
      <c r="A210" s="45" t="s">
        <v>676</v>
      </c>
      <c r="B210" s="46">
        <v>47</v>
      </c>
      <c r="C210" s="46">
        <v>37</v>
      </c>
      <c r="D210" s="46">
        <v>10</v>
      </c>
      <c r="E210" s="75">
        <f t="shared" si="0"/>
        <v>78.723404255319153</v>
      </c>
      <c r="F210" s="64" t="s">
        <v>1138</v>
      </c>
      <c r="CP210" s="44"/>
      <c r="CQ210" s="44"/>
      <c r="CR210" s="44"/>
      <c r="CS210" s="44"/>
      <c r="CT210" s="44"/>
      <c r="CU210" s="44"/>
      <c r="CV210" s="44"/>
      <c r="CW210" s="44"/>
      <c r="CX210" s="44"/>
      <c r="CY210" s="44"/>
    </row>
    <row r="211" spans="1:103" ht="15" customHeight="1" x14ac:dyDescent="0.35">
      <c r="A211" s="45" t="s">
        <v>677</v>
      </c>
      <c r="B211" s="46">
        <v>45</v>
      </c>
      <c r="C211" s="46">
        <v>40</v>
      </c>
      <c r="D211" s="46">
        <v>5</v>
      </c>
      <c r="E211" s="75">
        <f t="shared" si="0"/>
        <v>88.888888888888886</v>
      </c>
      <c r="F211" s="64" t="s">
        <v>1135</v>
      </c>
      <c r="CP211" s="44"/>
      <c r="CQ211" s="44"/>
      <c r="CR211" s="44"/>
      <c r="CS211" s="44"/>
      <c r="CT211" s="44"/>
      <c r="CU211" s="44"/>
      <c r="CV211" s="44"/>
      <c r="CW211" s="44"/>
      <c r="CX211" s="44"/>
      <c r="CY211" s="44"/>
    </row>
    <row r="212" spans="1:103" ht="15" customHeight="1" x14ac:dyDescent="0.35">
      <c r="A212" s="45" t="s">
        <v>1130</v>
      </c>
      <c r="B212" s="46">
        <v>23</v>
      </c>
      <c r="C212" s="46">
        <v>21</v>
      </c>
      <c r="D212" s="46">
        <v>2</v>
      </c>
      <c r="E212" s="75">
        <f t="shared" si="0"/>
        <v>91.304347826086953</v>
      </c>
      <c r="F212" s="64" t="s">
        <v>1139</v>
      </c>
      <c r="CP212" s="44"/>
      <c r="CQ212" s="44"/>
      <c r="CR212" s="44"/>
      <c r="CS212" s="44"/>
      <c r="CT212" s="44"/>
      <c r="CU212" s="44"/>
      <c r="CV212" s="44"/>
      <c r="CW212" s="44"/>
      <c r="CX212" s="44"/>
      <c r="CY212" s="44"/>
    </row>
    <row r="213" spans="1:103" ht="15" customHeight="1" x14ac:dyDescent="0.35">
      <c r="A213" s="45" t="s">
        <v>678</v>
      </c>
      <c r="B213" s="46">
        <v>13</v>
      </c>
      <c r="C213" s="46">
        <v>5</v>
      </c>
      <c r="D213" s="46">
        <v>8</v>
      </c>
      <c r="E213" s="75">
        <f t="shared" si="0"/>
        <v>38.461538461538467</v>
      </c>
      <c r="F213" s="64" t="s">
        <v>1136</v>
      </c>
      <c r="CP213" s="44"/>
      <c r="CQ213" s="44"/>
      <c r="CR213" s="44"/>
      <c r="CS213" s="44"/>
      <c r="CT213" s="44"/>
      <c r="CU213" s="44"/>
      <c r="CV213" s="44"/>
      <c r="CW213" s="44"/>
      <c r="CX213" s="44"/>
      <c r="CY213" s="44"/>
    </row>
    <row r="214" spans="1:103" ht="15" customHeight="1" thickBot="1" x14ac:dyDescent="0.4">
      <c r="A214" s="57" t="s">
        <v>679</v>
      </c>
      <c r="B214" s="58">
        <v>12</v>
      </c>
      <c r="C214" s="58">
        <v>10</v>
      </c>
      <c r="D214" s="58">
        <v>2</v>
      </c>
      <c r="E214" s="76">
        <f t="shared" si="0"/>
        <v>83.333333333333343</v>
      </c>
      <c r="F214" s="59" t="s">
        <v>1137</v>
      </c>
      <c r="CP214" s="44"/>
      <c r="CQ214" s="44"/>
      <c r="CR214" s="44"/>
      <c r="CS214" s="44"/>
      <c r="CT214" s="44"/>
      <c r="CU214" s="44"/>
      <c r="CV214" s="44"/>
      <c r="CW214" s="44"/>
      <c r="CX214" s="44"/>
      <c r="CY214" s="44"/>
    </row>
    <row r="215" spans="1:103" ht="15" customHeight="1" x14ac:dyDescent="0.35">
      <c r="CP215" s="44"/>
      <c r="CQ215" s="44"/>
      <c r="CR215" s="44"/>
      <c r="CS215" s="44"/>
      <c r="CT215" s="44"/>
      <c r="CU215" s="44"/>
      <c r="CV215" s="44"/>
      <c r="CW215" s="44"/>
      <c r="CX215" s="44"/>
      <c r="CY215" s="44"/>
    </row>
    <row r="216" spans="1:103" ht="18.649999999999999" customHeight="1" x14ac:dyDescent="0.35">
      <c r="CP216" s="44"/>
      <c r="CQ216" s="44"/>
      <c r="CR216" s="44"/>
      <c r="CS216" s="44"/>
      <c r="CT216" s="44"/>
      <c r="CU216" s="44"/>
      <c r="CV216" s="44"/>
      <c r="CW216" s="44"/>
      <c r="CX216" s="44"/>
      <c r="CY216" s="44"/>
    </row>
    <row r="217" spans="1:103" ht="18.649999999999999" customHeight="1" x14ac:dyDescent="0.35">
      <c r="CP217" s="44"/>
      <c r="CQ217" s="44"/>
      <c r="CR217" s="44"/>
      <c r="CS217" s="44"/>
      <c r="CT217" s="44"/>
      <c r="CU217" s="44"/>
      <c r="CV217" s="44"/>
      <c r="CW217" s="44"/>
      <c r="CX217" s="44"/>
      <c r="CY217" s="44"/>
    </row>
    <row r="218" spans="1:103" ht="18.649999999999999" customHeight="1" x14ac:dyDescent="0.35">
      <c r="CP218" s="44"/>
      <c r="CQ218" s="44"/>
      <c r="CR218" s="44"/>
      <c r="CS218" s="44"/>
      <c r="CT218" s="44"/>
      <c r="CU218" s="44"/>
      <c r="CV218" s="44"/>
      <c r="CW218" s="44"/>
      <c r="CX218" s="44"/>
      <c r="CY218" s="44"/>
    </row>
    <row r="219" spans="1:103" ht="18.649999999999999" customHeight="1" x14ac:dyDescent="0.35">
      <c r="CP219" s="44"/>
      <c r="CQ219" s="44"/>
      <c r="CR219" s="44"/>
      <c r="CS219" s="44"/>
      <c r="CT219" s="44"/>
      <c r="CU219" s="44"/>
      <c r="CV219" s="44"/>
      <c r="CW219" s="44"/>
      <c r="CX219" s="44"/>
      <c r="CY219" s="44"/>
    </row>
    <row r="220" spans="1:103" ht="18.649999999999999" customHeight="1" x14ac:dyDescent="0.35">
      <c r="CP220" s="44"/>
      <c r="CQ220" s="44"/>
      <c r="CR220" s="44"/>
      <c r="CS220" s="44"/>
      <c r="CT220" s="44"/>
      <c r="CU220" s="44"/>
      <c r="CV220" s="44"/>
      <c r="CW220" s="44"/>
      <c r="CX220" s="44"/>
      <c r="CY220" s="44"/>
    </row>
    <row r="221" spans="1:103" ht="18.649999999999999" customHeight="1" x14ac:dyDescent="0.35">
      <c r="CP221" s="44"/>
      <c r="CQ221" s="44"/>
      <c r="CR221" s="44"/>
      <c r="CS221" s="44"/>
      <c r="CT221" s="44"/>
      <c r="CU221" s="44"/>
      <c r="CV221" s="44"/>
      <c r="CW221" s="44"/>
      <c r="CX221" s="44"/>
      <c r="CY221" s="44"/>
    </row>
    <row r="222" spans="1:103" ht="18.649999999999999" customHeight="1" x14ac:dyDescent="0.35">
      <c r="CP222" s="44"/>
      <c r="CQ222" s="44"/>
      <c r="CR222" s="44"/>
      <c r="CS222" s="44"/>
      <c r="CT222" s="44"/>
      <c r="CU222" s="44"/>
      <c r="CV222" s="44"/>
      <c r="CW222" s="44"/>
      <c r="CX222" s="44"/>
      <c r="CY222" s="44"/>
    </row>
    <row r="223" spans="1:103" ht="18.649999999999999" customHeight="1" x14ac:dyDescent="0.35">
      <c r="CP223" s="44"/>
      <c r="CQ223" s="44"/>
      <c r="CR223" s="44"/>
      <c r="CS223" s="44"/>
      <c r="CT223" s="44"/>
      <c r="CU223" s="44"/>
      <c r="CV223" s="44"/>
      <c r="CW223" s="44"/>
      <c r="CX223" s="44"/>
      <c r="CY223" s="44"/>
    </row>
    <row r="224" spans="1:103" ht="18.649999999999999" customHeight="1" x14ac:dyDescent="0.35">
      <c r="CP224" s="44"/>
      <c r="CQ224" s="44"/>
      <c r="CR224" s="44"/>
      <c r="CS224" s="44"/>
      <c r="CT224" s="44"/>
      <c r="CU224" s="44"/>
      <c r="CV224" s="44"/>
      <c r="CW224" s="44"/>
      <c r="CX224" s="44"/>
      <c r="CY224" s="44"/>
    </row>
    <row r="225" spans="94:103" ht="18.649999999999999" customHeight="1" x14ac:dyDescent="0.35">
      <c r="CP225" s="44"/>
      <c r="CQ225" s="44"/>
      <c r="CR225" s="44"/>
      <c r="CS225" s="44"/>
      <c r="CT225" s="44"/>
      <c r="CU225" s="44"/>
      <c r="CV225" s="44"/>
      <c r="CW225" s="44"/>
      <c r="CX225" s="44"/>
      <c r="CY225" s="44"/>
    </row>
    <row r="226" spans="94:103" ht="18.649999999999999" customHeight="1" x14ac:dyDescent="0.35">
      <c r="CP226" s="44"/>
      <c r="CQ226" s="44"/>
      <c r="CR226" s="44"/>
      <c r="CS226" s="44"/>
      <c r="CT226" s="44"/>
      <c r="CU226" s="44"/>
      <c r="CV226" s="44"/>
      <c r="CW226" s="44"/>
      <c r="CX226" s="44"/>
      <c r="CY226" s="44"/>
    </row>
    <row r="227" spans="94:103" ht="18.649999999999999" customHeight="1" x14ac:dyDescent="0.35">
      <c r="CP227" s="44"/>
      <c r="CQ227" s="44"/>
      <c r="CR227" s="44"/>
      <c r="CS227" s="44"/>
      <c r="CT227" s="44"/>
      <c r="CU227" s="44"/>
      <c r="CV227" s="44"/>
      <c r="CW227" s="44"/>
      <c r="CX227" s="44"/>
      <c r="CY227" s="44"/>
    </row>
    <row r="228" spans="94:103" ht="18.649999999999999" customHeight="1" x14ac:dyDescent="0.35">
      <c r="CP228" s="44"/>
      <c r="CQ228" s="44"/>
      <c r="CR228" s="44"/>
      <c r="CS228" s="44"/>
      <c r="CT228" s="44"/>
      <c r="CU228" s="44"/>
      <c r="CV228" s="44"/>
      <c r="CW228" s="44"/>
      <c r="CX228" s="44"/>
      <c r="CY228" s="44"/>
    </row>
    <row r="229" spans="94:103" ht="18.649999999999999" customHeight="1" x14ac:dyDescent="0.35">
      <c r="CP229" s="44"/>
      <c r="CQ229" s="44"/>
      <c r="CR229" s="44"/>
      <c r="CS229" s="44"/>
      <c r="CT229" s="44"/>
      <c r="CU229" s="44"/>
      <c r="CV229" s="44"/>
      <c r="CW229" s="44"/>
      <c r="CX229" s="44"/>
      <c r="CY229" s="44"/>
    </row>
    <row r="230" spans="94:103" ht="18.649999999999999" customHeight="1" x14ac:dyDescent="0.35">
      <c r="CP230" s="44"/>
      <c r="CQ230" s="44"/>
      <c r="CR230" s="44"/>
      <c r="CS230" s="44"/>
      <c r="CT230" s="44"/>
      <c r="CU230" s="44"/>
      <c r="CV230" s="44"/>
      <c r="CW230" s="44"/>
      <c r="CX230" s="44"/>
      <c r="CY230" s="44"/>
    </row>
    <row r="231" spans="94:103" ht="18.649999999999999" customHeight="1" x14ac:dyDescent="0.35">
      <c r="CP231" s="44"/>
      <c r="CQ231" s="44"/>
      <c r="CR231" s="44"/>
      <c r="CS231" s="44"/>
      <c r="CT231" s="44"/>
      <c r="CU231" s="44"/>
      <c r="CV231" s="44"/>
      <c r="CW231" s="44"/>
      <c r="CX231" s="44"/>
      <c r="CY231" s="44"/>
    </row>
    <row r="232" spans="94:103" ht="18.649999999999999" customHeight="1" x14ac:dyDescent="0.35">
      <c r="CP232" s="44"/>
      <c r="CQ232" s="44"/>
      <c r="CR232" s="44"/>
      <c r="CS232" s="44"/>
      <c r="CT232" s="44"/>
      <c r="CU232" s="44"/>
      <c r="CV232" s="44"/>
      <c r="CW232" s="44"/>
      <c r="CX232" s="44"/>
      <c r="CY232" s="44"/>
    </row>
    <row r="233" spans="94:103" ht="18.649999999999999" customHeight="1" x14ac:dyDescent="0.35">
      <c r="CP233" s="44"/>
      <c r="CQ233" s="44"/>
      <c r="CR233" s="44"/>
      <c r="CS233" s="44"/>
      <c r="CT233" s="44"/>
      <c r="CU233" s="44"/>
      <c r="CV233" s="44"/>
      <c r="CW233" s="44"/>
      <c r="CX233" s="44"/>
      <c r="CY233" s="44"/>
    </row>
    <row r="234" spans="94:103" ht="18.649999999999999" customHeight="1" x14ac:dyDescent="0.35">
      <c r="CP234" s="44"/>
      <c r="CQ234" s="44"/>
      <c r="CR234" s="44"/>
      <c r="CS234" s="44"/>
      <c r="CT234" s="44"/>
      <c r="CU234" s="44"/>
      <c r="CV234" s="44"/>
      <c r="CW234" s="44"/>
      <c r="CX234" s="44"/>
      <c r="CY234" s="44"/>
    </row>
    <row r="235" spans="94:103" ht="18.649999999999999" customHeight="1" x14ac:dyDescent="0.35">
      <c r="CP235" s="44"/>
      <c r="CQ235" s="44"/>
      <c r="CR235" s="44"/>
      <c r="CS235" s="44"/>
      <c r="CT235" s="44"/>
      <c r="CU235" s="44"/>
      <c r="CV235" s="44"/>
      <c r="CW235" s="44"/>
      <c r="CX235" s="44"/>
      <c r="CY235" s="44"/>
    </row>
    <row r="236" spans="94:103" ht="18.649999999999999" customHeight="1" x14ac:dyDescent="0.35">
      <c r="CP236" s="44"/>
      <c r="CQ236" s="44"/>
      <c r="CR236" s="44"/>
      <c r="CS236" s="44"/>
      <c r="CT236" s="44"/>
      <c r="CU236" s="44"/>
      <c r="CV236" s="44"/>
      <c r="CW236" s="44"/>
      <c r="CX236" s="44"/>
      <c r="CY236" s="44"/>
    </row>
    <row r="237" spans="94:103" ht="18.649999999999999" customHeight="1" x14ac:dyDescent="0.35">
      <c r="CP237" s="44"/>
      <c r="CQ237" s="44"/>
      <c r="CR237" s="44"/>
      <c r="CS237" s="44"/>
      <c r="CT237" s="44"/>
      <c r="CU237" s="44"/>
      <c r="CV237" s="44"/>
      <c r="CW237" s="44"/>
      <c r="CX237" s="44"/>
      <c r="CY237" s="44"/>
    </row>
    <row r="238" spans="94:103" ht="18.649999999999999" customHeight="1" x14ac:dyDescent="0.35">
      <c r="CP238" s="44"/>
      <c r="CQ238" s="44"/>
      <c r="CR238" s="44"/>
      <c r="CS238" s="44"/>
      <c r="CT238" s="44"/>
      <c r="CU238" s="44"/>
      <c r="CV238" s="44"/>
      <c r="CW238" s="44"/>
      <c r="CX238" s="44"/>
      <c r="CY238" s="44"/>
    </row>
    <row r="239" spans="94:103" ht="18.649999999999999" customHeight="1" x14ac:dyDescent="0.35">
      <c r="CP239" s="44"/>
      <c r="CQ239" s="44"/>
      <c r="CR239" s="44"/>
      <c r="CS239" s="44"/>
      <c r="CT239" s="44"/>
      <c r="CU239" s="44"/>
      <c r="CV239" s="44"/>
      <c r="CW239" s="44"/>
      <c r="CX239" s="44"/>
      <c r="CY239" s="44"/>
    </row>
    <row r="240" spans="94:103" ht="18.649999999999999" customHeight="1" x14ac:dyDescent="0.35">
      <c r="CP240" s="44"/>
      <c r="CQ240" s="44"/>
      <c r="CR240" s="44"/>
      <c r="CS240" s="44"/>
      <c r="CT240" s="44"/>
      <c r="CU240" s="44"/>
      <c r="CV240" s="44"/>
      <c r="CW240" s="44"/>
      <c r="CX240" s="44"/>
      <c r="CY240" s="44"/>
    </row>
    <row r="241" spans="94:103" ht="18.649999999999999" customHeight="1" x14ac:dyDescent="0.35">
      <c r="CP241" s="44"/>
      <c r="CQ241" s="44"/>
      <c r="CR241" s="44"/>
      <c r="CS241" s="44"/>
      <c r="CT241" s="44"/>
      <c r="CU241" s="44"/>
      <c r="CV241" s="44"/>
      <c r="CW241" s="44"/>
      <c r="CX241" s="44"/>
      <c r="CY241" s="44"/>
    </row>
    <row r="242" spans="94:103" ht="18.649999999999999" customHeight="1" x14ac:dyDescent="0.35">
      <c r="CP242" s="44"/>
      <c r="CQ242" s="44"/>
      <c r="CR242" s="44"/>
      <c r="CS242" s="44"/>
      <c r="CT242" s="44"/>
      <c r="CU242" s="44"/>
      <c r="CV242" s="44"/>
    </row>
    <row r="243" spans="94:103" ht="18.649999999999999" customHeight="1" x14ac:dyDescent="0.35">
      <c r="CP243" s="44"/>
      <c r="CQ243" s="44"/>
      <c r="CR243" s="44"/>
      <c r="CS243" s="44"/>
      <c r="CT243" s="44"/>
      <c r="CU243" s="44"/>
      <c r="CV243" s="44"/>
      <c r="CW243" s="44"/>
      <c r="CX243" s="44"/>
      <c r="CY243" s="44"/>
    </row>
    <row r="244" spans="94:103" ht="18.649999999999999" customHeight="1" x14ac:dyDescent="0.35">
      <c r="CP244" s="44"/>
      <c r="CQ244" s="44"/>
      <c r="CR244" s="44"/>
      <c r="CS244" s="44"/>
      <c r="CT244" s="44"/>
      <c r="CU244" s="44"/>
      <c r="CV244" s="44"/>
      <c r="CW244" s="44"/>
      <c r="CX244" s="44"/>
      <c r="CY244" s="44"/>
    </row>
    <row r="245" spans="94:103" ht="18.649999999999999" customHeight="1" x14ac:dyDescent="0.35">
      <c r="CP245" s="44"/>
      <c r="CQ245" s="44"/>
      <c r="CR245" s="44"/>
      <c r="CS245" s="44"/>
      <c r="CT245" s="44"/>
      <c r="CU245" s="44"/>
      <c r="CV245" s="44"/>
      <c r="CW245" s="44"/>
      <c r="CX245" s="44"/>
      <c r="CY245" s="44"/>
    </row>
    <row r="246" spans="94:103" ht="18.649999999999999" customHeight="1" x14ac:dyDescent="0.35">
      <c r="CP246" s="44"/>
      <c r="CQ246" s="44"/>
      <c r="CR246" s="44"/>
      <c r="CS246" s="44"/>
      <c r="CT246" s="44"/>
      <c r="CU246" s="44"/>
      <c r="CV246" s="44"/>
      <c r="CW246" s="44"/>
      <c r="CX246" s="44"/>
      <c r="CY246" s="44"/>
    </row>
    <row r="247" spans="94:103" ht="18.649999999999999" customHeight="1" x14ac:dyDescent="0.35">
      <c r="CP247" s="44"/>
      <c r="CQ247" s="44"/>
      <c r="CR247" s="44"/>
      <c r="CS247" s="44"/>
      <c r="CT247" s="44"/>
      <c r="CU247" s="44"/>
      <c r="CV247" s="44"/>
      <c r="CW247" s="44"/>
      <c r="CX247" s="44"/>
      <c r="CY247" s="44"/>
    </row>
    <row r="248" spans="94:103" ht="18.649999999999999" customHeight="1" x14ac:dyDescent="0.35">
      <c r="CP248" s="44"/>
      <c r="CQ248" s="44"/>
      <c r="CR248" s="44"/>
      <c r="CS248" s="44"/>
      <c r="CT248" s="44"/>
      <c r="CU248" s="44"/>
      <c r="CV248" s="44"/>
      <c r="CW248" s="44"/>
      <c r="CX248" s="44"/>
      <c r="CY248" s="44"/>
    </row>
    <row r="249" spans="94:103" ht="18.649999999999999" customHeight="1" x14ac:dyDescent="0.35">
      <c r="CP249" s="44"/>
      <c r="CQ249" s="44"/>
      <c r="CR249" s="44"/>
      <c r="CS249" s="44"/>
      <c r="CT249" s="44"/>
      <c r="CU249" s="44"/>
      <c r="CV249" s="44"/>
      <c r="CW249" s="44"/>
      <c r="CX249" s="44"/>
      <c r="CY249" s="44"/>
    </row>
    <row r="250" spans="94:103" ht="18.649999999999999" customHeight="1" x14ac:dyDescent="0.35">
      <c r="CP250" s="44"/>
      <c r="CQ250" s="44"/>
      <c r="CR250" s="44"/>
      <c r="CS250" s="44"/>
      <c r="CT250" s="44"/>
      <c r="CU250" s="44"/>
      <c r="CV250" s="44"/>
      <c r="CW250" s="44"/>
      <c r="CX250" s="44"/>
      <c r="CY250" s="44"/>
    </row>
    <row r="251" spans="94:103" ht="18.649999999999999" customHeight="1" x14ac:dyDescent="0.35">
      <c r="CP251" s="44"/>
      <c r="CQ251" s="44"/>
      <c r="CR251" s="44"/>
      <c r="CS251" s="44"/>
      <c r="CT251" s="44"/>
      <c r="CU251" s="44"/>
      <c r="CV251" s="44"/>
      <c r="CW251" s="44"/>
      <c r="CX251" s="44"/>
      <c r="CY251" s="44"/>
    </row>
    <row r="252" spans="94:103" ht="18.649999999999999" customHeight="1" x14ac:dyDescent="0.35">
      <c r="CP252" s="44"/>
      <c r="CQ252" s="44"/>
      <c r="CR252" s="44"/>
      <c r="CS252" s="44"/>
      <c r="CT252" s="44"/>
      <c r="CU252" s="44"/>
      <c r="CV252" s="44"/>
      <c r="CW252" s="44"/>
      <c r="CX252" s="44"/>
      <c r="CY252" s="44"/>
    </row>
    <row r="253" spans="94:103" ht="18.649999999999999" customHeight="1" x14ac:dyDescent="0.35">
      <c r="CP253" s="44"/>
      <c r="CQ253" s="44"/>
      <c r="CR253" s="44"/>
      <c r="CS253" s="44"/>
      <c r="CT253" s="44"/>
      <c r="CU253" s="44"/>
      <c r="CV253" s="44"/>
      <c r="CW253" s="44"/>
      <c r="CX253" s="44"/>
      <c r="CY253" s="44"/>
    </row>
    <row r="254" spans="94:103" ht="18.649999999999999" customHeight="1" x14ac:dyDescent="0.35">
      <c r="CP254" s="44"/>
      <c r="CQ254" s="44"/>
      <c r="CR254" s="44"/>
      <c r="CS254" s="44"/>
      <c r="CT254" s="44"/>
      <c r="CU254" s="44"/>
      <c r="CV254" s="44"/>
      <c r="CW254" s="44"/>
      <c r="CX254" s="44"/>
      <c r="CY254" s="44"/>
    </row>
    <row r="255" spans="94:103" ht="18.649999999999999" customHeight="1" x14ac:dyDescent="0.35">
      <c r="CP255" s="44"/>
      <c r="CQ255" s="44"/>
      <c r="CR255" s="44"/>
      <c r="CS255" s="44"/>
      <c r="CT255" s="44"/>
      <c r="CU255" s="44"/>
      <c r="CV255" s="44"/>
      <c r="CW255" s="44"/>
      <c r="CX255" s="44"/>
      <c r="CY255" s="44"/>
    </row>
    <row r="256" spans="94:103" ht="18.649999999999999" customHeight="1" x14ac:dyDescent="0.35">
      <c r="CP256" s="44"/>
      <c r="CQ256" s="44"/>
      <c r="CR256" s="44"/>
      <c r="CS256" s="44"/>
      <c r="CT256" s="44"/>
      <c r="CU256" s="44"/>
      <c r="CV256" s="44"/>
      <c r="CW256" s="44"/>
      <c r="CX256" s="44"/>
      <c r="CY256" s="44"/>
    </row>
    <row r="257" spans="94:103" ht="18.649999999999999" customHeight="1" x14ac:dyDescent="0.35">
      <c r="CP257" s="44"/>
      <c r="CQ257" s="44"/>
      <c r="CR257" s="44"/>
      <c r="CS257" s="44"/>
      <c r="CT257" s="44"/>
      <c r="CU257" s="44"/>
      <c r="CV257" s="44"/>
      <c r="CW257" s="44"/>
      <c r="CX257" s="44"/>
      <c r="CY257" s="44"/>
    </row>
    <row r="258" spans="94:103" ht="18.649999999999999" customHeight="1" x14ac:dyDescent="0.35">
      <c r="CP258" s="44"/>
      <c r="CQ258" s="44"/>
      <c r="CR258" s="44"/>
      <c r="CS258" s="44"/>
      <c r="CT258" s="44"/>
      <c r="CU258" s="44"/>
      <c r="CV258" s="44"/>
      <c r="CW258" s="44"/>
      <c r="CX258" s="44"/>
      <c r="CY258" s="44"/>
    </row>
    <row r="259" spans="94:103" ht="18.649999999999999" customHeight="1" x14ac:dyDescent="0.35">
      <c r="CP259" s="44"/>
      <c r="CQ259" s="44"/>
      <c r="CR259" s="44"/>
      <c r="CS259" s="44"/>
      <c r="CT259" s="44"/>
      <c r="CU259" s="44"/>
      <c r="CV259" s="44"/>
      <c r="CW259" s="44"/>
      <c r="CX259" s="44"/>
      <c r="CY259" s="44"/>
    </row>
    <row r="260" spans="94:103" ht="18.649999999999999" customHeight="1" x14ac:dyDescent="0.35">
      <c r="CP260" s="44"/>
      <c r="CQ260" s="44"/>
      <c r="CR260" s="44"/>
      <c r="CS260" s="44"/>
      <c r="CT260" s="44"/>
      <c r="CU260" s="44"/>
      <c r="CV260" s="44"/>
      <c r="CW260" s="44"/>
      <c r="CX260" s="44"/>
      <c r="CY260" s="44"/>
    </row>
    <row r="261" spans="94:103" ht="18.649999999999999" customHeight="1" x14ac:dyDescent="0.35">
      <c r="CP261" s="44"/>
      <c r="CQ261" s="44"/>
      <c r="CR261" s="44"/>
      <c r="CS261" s="44"/>
      <c r="CT261" s="44"/>
      <c r="CU261" s="44"/>
      <c r="CV261" s="44"/>
      <c r="CW261" s="44"/>
      <c r="CX261" s="44"/>
      <c r="CY261" s="44"/>
    </row>
    <row r="262" spans="94:103" ht="18.649999999999999" customHeight="1" x14ac:dyDescent="0.35">
      <c r="CP262" s="44"/>
      <c r="CQ262" s="44"/>
      <c r="CR262" s="44"/>
      <c r="CS262" s="44"/>
      <c r="CT262" s="44"/>
      <c r="CU262" s="44"/>
      <c r="CV262" s="44"/>
      <c r="CW262" s="44"/>
      <c r="CX262" s="44"/>
      <c r="CY262" s="44"/>
    </row>
    <row r="263" spans="94:103" ht="18.649999999999999" customHeight="1" x14ac:dyDescent="0.35">
      <c r="CP263" s="44"/>
      <c r="CQ263" s="44"/>
      <c r="CR263" s="44"/>
      <c r="CS263" s="44"/>
      <c r="CT263" s="44"/>
      <c r="CU263" s="44"/>
      <c r="CV263" s="44"/>
      <c r="CW263" s="44"/>
      <c r="CX263" s="44"/>
      <c r="CY263" s="44"/>
    </row>
    <row r="264" spans="94:103" ht="18.649999999999999" customHeight="1" x14ac:dyDescent="0.35">
      <c r="CP264" s="44"/>
      <c r="CQ264" s="44"/>
      <c r="CR264" s="44"/>
      <c r="CS264" s="44"/>
      <c r="CT264" s="44"/>
      <c r="CU264" s="44"/>
      <c r="CV264" s="44"/>
      <c r="CW264" s="44"/>
      <c r="CX264" s="44"/>
      <c r="CY264" s="44"/>
    </row>
    <row r="265" spans="94:103" ht="18.649999999999999" customHeight="1" x14ac:dyDescent="0.35">
      <c r="CP265" s="44"/>
      <c r="CQ265" s="44"/>
      <c r="CR265" s="44"/>
      <c r="CS265" s="44"/>
      <c r="CT265" s="44"/>
      <c r="CU265" s="44"/>
      <c r="CV265" s="44"/>
      <c r="CW265" s="44"/>
      <c r="CX265" s="44"/>
      <c r="CY265" s="44"/>
    </row>
    <row r="266" spans="94:103" ht="18.649999999999999" customHeight="1" x14ac:dyDescent="0.35">
      <c r="CP266" s="44"/>
      <c r="CQ266" s="44"/>
      <c r="CR266" s="44"/>
      <c r="CS266" s="44"/>
      <c r="CT266" s="44"/>
      <c r="CU266" s="44"/>
      <c r="CV266" s="44"/>
      <c r="CW266" s="44"/>
      <c r="CX266" s="44"/>
      <c r="CY266" s="44"/>
    </row>
    <row r="267" spans="94:103" ht="18.649999999999999" customHeight="1" x14ac:dyDescent="0.35">
      <c r="CP267" s="44"/>
      <c r="CQ267" s="44"/>
      <c r="CR267" s="44"/>
      <c r="CS267" s="44"/>
      <c r="CT267" s="44"/>
      <c r="CU267" s="44"/>
      <c r="CV267" s="44"/>
      <c r="CW267" s="44"/>
      <c r="CX267" s="44"/>
      <c r="CY267" s="44"/>
    </row>
    <row r="268" spans="94:103" ht="18.649999999999999" customHeight="1" x14ac:dyDescent="0.35">
      <c r="CP268" s="44"/>
      <c r="CQ268" s="44"/>
      <c r="CR268" s="44"/>
      <c r="CS268" s="44"/>
      <c r="CT268" s="44"/>
      <c r="CU268" s="44"/>
      <c r="CV268" s="44"/>
      <c r="CW268" s="44"/>
      <c r="CX268" s="44"/>
      <c r="CY268" s="44"/>
    </row>
    <row r="269" spans="94:103" ht="18.649999999999999" customHeight="1" x14ac:dyDescent="0.35">
      <c r="CP269" s="44"/>
      <c r="CQ269" s="44"/>
      <c r="CR269" s="44"/>
      <c r="CS269" s="44"/>
      <c r="CT269" s="44"/>
      <c r="CU269" s="44"/>
      <c r="CV269" s="44"/>
      <c r="CW269" s="44"/>
      <c r="CX269" s="44"/>
      <c r="CY269" s="44"/>
    </row>
    <row r="270" spans="94:103" ht="18.649999999999999" customHeight="1" x14ac:dyDescent="0.35">
      <c r="CP270" s="44"/>
      <c r="CQ270" s="44"/>
      <c r="CR270" s="44"/>
      <c r="CS270" s="44"/>
      <c r="CT270" s="44"/>
      <c r="CU270" s="44"/>
      <c r="CV270" s="44"/>
      <c r="CW270" s="44"/>
      <c r="CX270" s="44"/>
      <c r="CY270" s="44"/>
    </row>
    <row r="271" spans="94:103" ht="18.649999999999999" customHeight="1" x14ac:dyDescent="0.35">
      <c r="CP271" s="44"/>
      <c r="CQ271" s="44"/>
      <c r="CR271" s="44"/>
      <c r="CS271" s="44"/>
      <c r="CT271" s="44"/>
      <c r="CU271" s="44"/>
      <c r="CV271" s="44"/>
      <c r="CW271" s="44"/>
      <c r="CX271" s="44"/>
      <c r="CY271" s="44"/>
    </row>
    <row r="272" spans="94:103" ht="18.649999999999999" customHeight="1" x14ac:dyDescent="0.35">
      <c r="CP272" s="44"/>
      <c r="CQ272" s="44"/>
      <c r="CR272" s="44"/>
      <c r="CS272" s="44"/>
      <c r="CT272" s="44"/>
      <c r="CU272" s="44"/>
      <c r="CV272" s="44"/>
      <c r="CW272" s="44"/>
      <c r="CX272" s="44"/>
      <c r="CY272" s="44"/>
    </row>
    <row r="273" spans="94:103" ht="18.649999999999999" customHeight="1" x14ac:dyDescent="0.35">
      <c r="CP273" s="44"/>
      <c r="CQ273" s="44"/>
      <c r="CR273" s="44"/>
      <c r="CS273" s="44"/>
      <c r="CT273" s="44"/>
      <c r="CU273" s="44"/>
      <c r="CV273" s="44"/>
      <c r="CW273" s="44"/>
      <c r="CX273" s="44"/>
      <c r="CY273" s="44"/>
    </row>
    <row r="274" spans="94:103" ht="18.649999999999999" customHeight="1" x14ac:dyDescent="0.35">
      <c r="CP274" s="44"/>
      <c r="CQ274" s="44"/>
      <c r="CR274" s="44"/>
      <c r="CS274" s="44"/>
      <c r="CT274" s="44"/>
      <c r="CU274" s="44"/>
      <c r="CV274" s="44"/>
      <c r="CW274" s="44"/>
      <c r="CX274" s="44"/>
      <c r="CY274" s="44"/>
    </row>
    <row r="275" spans="94:103" ht="18.649999999999999" customHeight="1" x14ac:dyDescent="0.35">
      <c r="CP275" s="44"/>
      <c r="CQ275" s="44"/>
      <c r="CR275" s="44"/>
      <c r="CS275" s="44"/>
      <c r="CT275" s="44"/>
      <c r="CU275" s="44"/>
      <c r="CV275" s="44"/>
      <c r="CW275" s="44"/>
      <c r="CX275" s="44"/>
      <c r="CY275" s="44"/>
    </row>
    <row r="276" spans="94:103" ht="18.649999999999999" customHeight="1" x14ac:dyDescent="0.35">
      <c r="CP276" s="44"/>
      <c r="CQ276" s="44"/>
      <c r="CR276" s="44"/>
      <c r="CS276" s="44"/>
      <c r="CT276" s="44"/>
      <c r="CU276" s="44"/>
      <c r="CV276" s="44"/>
      <c r="CW276" s="44"/>
      <c r="CX276" s="44"/>
      <c r="CY276" s="44"/>
    </row>
    <row r="277" spans="94:103" ht="18.649999999999999" customHeight="1" x14ac:dyDescent="0.35">
      <c r="CP277" s="44"/>
      <c r="CQ277" s="44"/>
      <c r="CR277" s="44"/>
      <c r="CS277" s="44"/>
      <c r="CT277" s="44"/>
      <c r="CU277" s="44"/>
      <c r="CV277" s="44"/>
      <c r="CW277" s="44"/>
      <c r="CX277" s="44"/>
      <c r="CY277" s="44"/>
    </row>
    <row r="278" spans="94:103" ht="18.649999999999999" customHeight="1" x14ac:dyDescent="0.35">
      <c r="CP278" s="44"/>
      <c r="CQ278" s="44"/>
      <c r="CR278" s="44"/>
      <c r="CS278" s="44"/>
      <c r="CT278" s="44"/>
      <c r="CU278" s="44"/>
      <c r="CV278" s="44"/>
      <c r="CW278" s="44"/>
      <c r="CX278" s="44"/>
      <c r="CY278" s="44"/>
    </row>
    <row r="279" spans="94:103" ht="18.649999999999999" customHeight="1" x14ac:dyDescent="0.35">
      <c r="CP279" s="44"/>
      <c r="CQ279" s="44"/>
      <c r="CR279" s="44"/>
      <c r="CS279" s="44"/>
      <c r="CT279" s="44"/>
      <c r="CU279" s="44"/>
      <c r="CV279" s="44"/>
      <c r="CW279" s="44"/>
      <c r="CX279" s="44"/>
      <c r="CY279" s="44"/>
    </row>
    <row r="280" spans="94:103" ht="18.649999999999999" customHeight="1" x14ac:dyDescent="0.35">
      <c r="CP280" s="44"/>
      <c r="CQ280" s="44"/>
      <c r="CR280" s="44"/>
      <c r="CS280" s="44"/>
      <c r="CT280" s="44"/>
      <c r="CU280" s="44"/>
      <c r="CV280" s="44"/>
      <c r="CW280" s="44"/>
      <c r="CX280" s="44"/>
      <c r="CY280" s="44"/>
    </row>
    <row r="281" spans="94:103" ht="18.649999999999999" customHeight="1" x14ac:dyDescent="0.35">
      <c r="CP281" s="44"/>
      <c r="CQ281" s="44"/>
      <c r="CR281" s="44"/>
      <c r="CS281" s="44"/>
      <c r="CT281" s="44"/>
      <c r="CU281" s="44"/>
      <c r="CV281" s="44"/>
      <c r="CW281" s="44"/>
      <c r="CX281" s="44"/>
      <c r="CY281" s="44"/>
    </row>
    <row r="282" spans="94:103" ht="18.649999999999999" customHeight="1" x14ac:dyDescent="0.35">
      <c r="CP282" s="44"/>
      <c r="CQ282" s="44"/>
      <c r="CR282" s="44"/>
      <c r="CS282" s="44"/>
      <c r="CT282" s="44"/>
      <c r="CU282" s="44"/>
      <c r="CV282" s="44"/>
      <c r="CW282" s="44"/>
      <c r="CX282" s="44"/>
      <c r="CY282" s="44"/>
    </row>
    <row r="283" spans="94:103" ht="18.649999999999999" customHeight="1" x14ac:dyDescent="0.35">
      <c r="CP283" s="44"/>
      <c r="CQ283" s="44"/>
      <c r="CR283" s="44"/>
      <c r="CS283" s="44"/>
      <c r="CT283" s="44"/>
      <c r="CU283" s="44"/>
      <c r="CV283" s="44"/>
      <c r="CW283" s="44"/>
      <c r="CX283" s="44"/>
      <c r="CY283" s="44"/>
    </row>
    <row r="284" spans="94:103" ht="18.649999999999999" customHeight="1" x14ac:dyDescent="0.35">
      <c r="CP284" s="44"/>
      <c r="CQ284" s="44"/>
      <c r="CR284" s="44"/>
      <c r="CS284" s="44"/>
      <c r="CT284" s="44"/>
      <c r="CU284" s="44"/>
      <c r="CV284" s="44"/>
      <c r="CW284" s="44"/>
      <c r="CX284" s="44"/>
      <c r="CY284" s="44"/>
    </row>
    <row r="285" spans="94:103" ht="18.649999999999999" customHeight="1" x14ac:dyDescent="0.35">
      <c r="CP285" s="44"/>
      <c r="CQ285" s="44"/>
      <c r="CR285" s="44"/>
      <c r="CS285" s="44"/>
      <c r="CT285" s="44"/>
      <c r="CU285" s="44"/>
      <c r="CV285" s="44"/>
      <c r="CW285" s="44"/>
      <c r="CX285" s="44"/>
      <c r="CY285" s="44"/>
    </row>
    <row r="286" spans="94:103" ht="18.649999999999999" customHeight="1" x14ac:dyDescent="0.35">
      <c r="CP286" s="44"/>
      <c r="CQ286" s="44"/>
      <c r="CR286" s="44"/>
      <c r="CS286" s="44"/>
      <c r="CT286" s="44"/>
      <c r="CU286" s="44"/>
      <c r="CV286" s="44"/>
      <c r="CW286" s="44"/>
      <c r="CX286" s="44"/>
      <c r="CY286" s="44"/>
    </row>
    <row r="287" spans="94:103" ht="18.649999999999999" customHeight="1" x14ac:dyDescent="0.35">
      <c r="CP287" s="44"/>
      <c r="CQ287" s="44"/>
      <c r="CR287" s="44"/>
      <c r="CS287" s="44"/>
      <c r="CT287" s="44"/>
      <c r="CU287" s="44"/>
      <c r="CV287" s="44"/>
      <c r="CW287" s="44"/>
      <c r="CX287" s="44"/>
      <c r="CY287" s="44"/>
    </row>
    <row r="288" spans="94:103" ht="18.649999999999999" customHeight="1" x14ac:dyDescent="0.35">
      <c r="CP288" s="44"/>
      <c r="CQ288" s="44"/>
      <c r="CR288" s="44"/>
      <c r="CS288" s="44"/>
      <c r="CT288" s="44"/>
      <c r="CU288" s="44"/>
      <c r="CV288" s="44"/>
      <c r="CW288" s="44"/>
      <c r="CX288" s="44"/>
      <c r="CY288" s="44"/>
    </row>
    <row r="289" spans="94:103" ht="18.649999999999999" customHeight="1" x14ac:dyDescent="0.35">
      <c r="CP289" s="44"/>
      <c r="CQ289" s="44"/>
      <c r="CR289" s="44"/>
      <c r="CS289" s="44"/>
      <c r="CT289" s="44"/>
      <c r="CU289" s="44"/>
      <c r="CV289" s="44"/>
      <c r="CW289" s="44"/>
      <c r="CX289" s="44"/>
      <c r="CY289" s="44"/>
    </row>
    <row r="290" spans="94:103" ht="18.649999999999999" customHeight="1" x14ac:dyDescent="0.35">
      <c r="CP290" s="44"/>
      <c r="CQ290" s="44"/>
      <c r="CR290" s="44"/>
      <c r="CS290" s="44"/>
      <c r="CT290" s="44"/>
      <c r="CU290" s="44"/>
      <c r="CV290" s="44"/>
      <c r="CW290" s="44"/>
      <c r="CX290" s="44"/>
      <c r="CY290" s="44"/>
    </row>
    <row r="291" spans="94:103" ht="18.649999999999999" customHeight="1" x14ac:dyDescent="0.35">
      <c r="CP291" s="44"/>
      <c r="CQ291" s="44"/>
      <c r="CR291" s="44"/>
      <c r="CS291" s="44"/>
      <c r="CT291" s="44"/>
      <c r="CU291" s="44"/>
      <c r="CV291" s="44"/>
      <c r="CW291" s="44"/>
      <c r="CX291" s="44"/>
      <c r="CY291" s="44"/>
    </row>
    <row r="292" spans="94:103" ht="18.649999999999999" customHeight="1" x14ac:dyDescent="0.35">
      <c r="CP292" s="44"/>
      <c r="CQ292" s="44"/>
      <c r="CR292" s="44"/>
      <c r="CS292" s="44"/>
      <c r="CT292" s="44"/>
      <c r="CU292" s="44"/>
      <c r="CV292" s="44"/>
      <c r="CW292" s="44"/>
      <c r="CX292" s="44"/>
      <c r="CY292" s="44"/>
    </row>
    <row r="293" spans="94:103" ht="18.649999999999999" customHeight="1" x14ac:dyDescent="0.35">
      <c r="CP293" s="44"/>
      <c r="CQ293" s="44"/>
      <c r="CR293" s="44"/>
      <c r="CS293" s="44"/>
      <c r="CT293" s="44"/>
      <c r="CU293" s="44"/>
      <c r="CV293" s="44"/>
      <c r="CW293" s="44"/>
      <c r="CX293" s="44"/>
      <c r="CY293" s="44"/>
    </row>
    <row r="294" spans="94:103" ht="18.649999999999999" customHeight="1" x14ac:dyDescent="0.35">
      <c r="CP294" s="44"/>
      <c r="CQ294" s="44"/>
      <c r="CR294" s="44"/>
      <c r="CS294" s="44"/>
      <c r="CT294" s="44"/>
      <c r="CU294" s="44"/>
      <c r="CV294" s="44"/>
      <c r="CW294" s="44"/>
      <c r="CX294" s="44"/>
      <c r="CY294" s="44"/>
    </row>
    <row r="295" spans="94:103" ht="18.649999999999999" customHeight="1" x14ac:dyDescent="0.35">
      <c r="CP295" s="44"/>
      <c r="CQ295" s="44"/>
      <c r="CR295" s="44"/>
      <c r="CS295" s="44"/>
      <c r="CT295" s="44"/>
      <c r="CU295" s="44"/>
      <c r="CV295" s="44"/>
      <c r="CW295" s="44"/>
      <c r="CX295" s="44"/>
      <c r="CY295" s="44"/>
    </row>
    <row r="296" spans="94:103" ht="18.649999999999999" customHeight="1" x14ac:dyDescent="0.35">
      <c r="CP296" s="44"/>
      <c r="CQ296" s="44"/>
      <c r="CR296" s="44"/>
      <c r="CS296" s="44"/>
      <c r="CT296" s="44"/>
      <c r="CU296" s="44"/>
      <c r="CV296" s="44"/>
      <c r="CW296" s="44"/>
      <c r="CX296" s="44"/>
      <c r="CY296" s="44"/>
    </row>
    <row r="297" spans="94:103" ht="18.649999999999999" customHeight="1" x14ac:dyDescent="0.35">
      <c r="CP297" s="44"/>
      <c r="CQ297" s="44"/>
      <c r="CR297" s="44"/>
      <c r="CS297" s="44"/>
      <c r="CT297" s="44"/>
      <c r="CU297" s="44"/>
      <c r="CV297" s="44"/>
      <c r="CW297" s="44"/>
      <c r="CX297" s="44"/>
      <c r="CY297" s="44"/>
    </row>
    <row r="298" spans="94:103" ht="18.649999999999999" customHeight="1" x14ac:dyDescent="0.35">
      <c r="CP298" s="44"/>
      <c r="CQ298" s="44"/>
      <c r="CR298" s="44"/>
      <c r="CS298" s="44"/>
      <c r="CT298" s="44"/>
      <c r="CU298" s="44"/>
      <c r="CV298" s="44"/>
      <c r="CW298" s="44"/>
      <c r="CX298" s="44"/>
      <c r="CY298" s="44"/>
    </row>
    <row r="299" spans="94:103" ht="18.649999999999999" customHeight="1" x14ac:dyDescent="0.35">
      <c r="CP299" s="44"/>
      <c r="CQ299" s="44"/>
      <c r="CR299" s="44"/>
      <c r="CS299" s="44"/>
      <c r="CT299" s="44"/>
      <c r="CU299" s="44"/>
      <c r="CV299" s="44"/>
      <c r="CW299" s="44"/>
      <c r="CX299" s="44"/>
      <c r="CY299" s="44"/>
    </row>
    <row r="300" spans="94:103" ht="18.649999999999999" customHeight="1" x14ac:dyDescent="0.35">
      <c r="CP300" s="44"/>
      <c r="CQ300" s="44"/>
      <c r="CR300" s="44"/>
      <c r="CS300" s="44"/>
      <c r="CT300" s="44"/>
      <c r="CU300" s="44"/>
      <c r="CV300" s="44"/>
      <c r="CW300" s="44"/>
      <c r="CX300" s="44"/>
      <c r="CY300" s="44"/>
    </row>
    <row r="301" spans="94:103" ht="18.649999999999999" customHeight="1" x14ac:dyDescent="0.35">
      <c r="CP301" s="44"/>
      <c r="CQ301" s="44"/>
      <c r="CR301" s="44"/>
      <c r="CS301" s="44"/>
      <c r="CT301" s="44"/>
      <c r="CU301" s="44"/>
      <c r="CV301" s="44"/>
      <c r="CW301" s="44"/>
      <c r="CX301" s="44"/>
      <c r="CY301" s="44"/>
    </row>
    <row r="302" spans="94:103" ht="18.649999999999999" customHeight="1" x14ac:dyDescent="0.35">
      <c r="CP302" s="44"/>
      <c r="CQ302" s="44"/>
      <c r="CR302" s="44"/>
      <c r="CS302" s="44"/>
      <c r="CT302" s="44"/>
      <c r="CU302" s="44"/>
      <c r="CV302" s="44"/>
      <c r="CW302" s="44"/>
      <c r="CX302" s="44"/>
      <c r="CY302" s="44"/>
    </row>
    <row r="303" spans="94:103" ht="18.649999999999999" customHeight="1" x14ac:dyDescent="0.35">
      <c r="CP303" s="44"/>
      <c r="CQ303" s="44"/>
      <c r="CR303" s="44"/>
      <c r="CS303" s="44"/>
      <c r="CT303" s="44"/>
      <c r="CU303" s="44"/>
      <c r="CV303" s="44"/>
      <c r="CW303" s="44"/>
      <c r="CX303" s="44"/>
      <c r="CY303" s="44"/>
    </row>
    <row r="304" spans="94:103" ht="18.649999999999999" customHeight="1" x14ac:dyDescent="0.35">
      <c r="CP304" s="44"/>
      <c r="CQ304" s="44"/>
      <c r="CR304" s="44"/>
      <c r="CS304" s="44"/>
      <c r="CT304" s="44"/>
      <c r="CU304" s="44"/>
      <c r="CV304" s="44"/>
      <c r="CW304" s="44"/>
      <c r="CX304" s="44"/>
      <c r="CY304" s="44"/>
    </row>
    <row r="305" spans="94:103" ht="18.649999999999999" customHeight="1" x14ac:dyDescent="0.35">
      <c r="CP305" s="44"/>
      <c r="CQ305" s="44"/>
      <c r="CR305" s="44"/>
      <c r="CS305" s="44"/>
      <c r="CT305" s="44"/>
      <c r="CU305" s="44"/>
      <c r="CV305" s="44"/>
      <c r="CW305" s="44"/>
      <c r="CX305" s="44"/>
      <c r="CY305" s="44"/>
    </row>
    <row r="306" spans="94:103" ht="18.649999999999999" customHeight="1" x14ac:dyDescent="0.35">
      <c r="CP306" s="44"/>
      <c r="CQ306" s="44"/>
      <c r="CR306" s="44"/>
      <c r="CS306" s="44"/>
      <c r="CT306" s="44"/>
      <c r="CU306" s="44"/>
      <c r="CV306" s="44"/>
      <c r="CW306" s="44"/>
      <c r="CX306" s="44"/>
      <c r="CY306" s="44"/>
    </row>
    <row r="307" spans="94:103" ht="18.649999999999999" customHeight="1" x14ac:dyDescent="0.35">
      <c r="CP307" s="44"/>
      <c r="CQ307" s="44"/>
      <c r="CR307" s="44"/>
      <c r="CS307" s="44"/>
      <c r="CT307" s="44"/>
      <c r="CU307" s="44"/>
      <c r="CV307" s="44"/>
      <c r="CW307" s="44"/>
      <c r="CX307" s="44"/>
      <c r="CY307" s="44"/>
    </row>
    <row r="308" spans="94:103" ht="18.649999999999999" customHeight="1" x14ac:dyDescent="0.35">
      <c r="CP308" s="44"/>
      <c r="CQ308" s="44"/>
      <c r="CR308" s="44"/>
      <c r="CS308" s="44"/>
      <c r="CT308" s="44"/>
      <c r="CU308" s="44"/>
      <c r="CV308" s="44"/>
      <c r="CW308" s="44"/>
      <c r="CX308" s="44"/>
      <c r="CY308" s="44"/>
    </row>
    <row r="309" spans="94:103" ht="18.649999999999999" customHeight="1" x14ac:dyDescent="0.35">
      <c r="CP309" s="44"/>
      <c r="CQ309" s="44"/>
      <c r="CR309" s="44"/>
      <c r="CS309" s="44"/>
      <c r="CT309" s="44"/>
      <c r="CU309" s="44"/>
      <c r="CV309" s="44"/>
      <c r="CW309" s="44"/>
      <c r="CX309" s="44"/>
      <c r="CY309" s="44"/>
    </row>
  </sheetData>
  <sortState ref="A2:CY54">
    <sortCondition ref="C2:C54"/>
    <sortCondition ref="D2:D54"/>
  </sortState>
  <hyperlinks>
    <hyperlink ref="H198" r:id="rId1" display="https://www.facebook.com/news.va.en"/>
    <hyperlink ref="E200" r:id="rId2" display="https://www.facebook.com/europeancouncilpresident"/>
    <hyperlink ref="J201" r:id="rId3" display="https://www.facebook.com/DeptEstadoPR"/>
    <hyperlink ref="G2" r:id="rId4" display="https://www.youtube.com/user/abdelmaleksellal"/>
    <hyperlink ref="E2" r:id="rId5" display="https://www.youtube.com/abdelaziz_bouteflika"/>
    <hyperlink ref="E4" r:id="rId6" display="https://www.youtube.com/yayiboni2011"/>
    <hyperlink ref="G4" r:id="rId7" display="https://www.youtube.com/channel/UCMKu2CsilpW8OZ31LdW0vuw"/>
    <hyperlink ref="E6" r:id="rId8" display="https://www.youtube.com/channel/UCmNEpWzv7HZZTJsU5p4snsQ"/>
    <hyperlink ref="E7" r:id="rId9" display="https://www.youtube.com/pierrenkurunziza"/>
    <hyperlink ref="H11" r:id="rId10"/>
    <hyperlink ref="E12" r:id="rId11"/>
    <hyperlink ref="H12" r:id="rId12"/>
    <hyperlink ref="J13" r:id="rId13"/>
    <hyperlink ref="F16" r:id="rId14" display="https://www.youtube.com/flagstaffhouse"/>
    <hyperlink ref="E16" r:id="rId15"/>
    <hyperlink ref="K16" r:id="rId16"/>
    <hyperlink ref="F17" r:id="rId17" display="https://www.youtube.com/channel/UCVqArgjwmnTAyMgZ-xm6Lcw"/>
    <hyperlink ref="H18" r:id="rId18" display="https://www.youtube.com/gouvcivideo"/>
    <hyperlink ref="F18" r:id="rId19"/>
    <hyperlink ref="E18" r:id="rId20"/>
    <hyperlink ref="E19" r:id="rId21" display="https://www.youtube.com/UhuruKenyattaTV"/>
    <hyperlink ref="H24" r:id="rId22" display="https://www.youtube.com/chefdugouvernement"/>
    <hyperlink ref="F26" r:id="rId23" display="https://www.youtube.com/presidenceniger"/>
    <hyperlink ref="E28" r:id="rId24" display="https://www.youtube.com/presidentkagame"/>
    <hyperlink ref="H28" r:id="rId25" display="https://www.youtube.com/RwandaGov"/>
    <hyperlink ref="N28" r:id="rId26" display="https://www.youtube.com/PrimatureRwanda"/>
    <hyperlink ref="F29" r:id="rId27" display="https://www.youtube.com/presidencesenegal"/>
    <hyperlink ref="F30" r:id="rId28" display="https://www.youtube.com/channel/UCyzZBEcM7_knHfLt2YE2dhg"/>
    <hyperlink ref="E31" r:id="rId29" display="https://www.youtube.com/channel/UCjxjky1VIZISVAgUxH302kw"/>
    <hyperlink ref="F32" r:id="rId30" display="https://www.youtube.com/PresidencyZA"/>
    <hyperlink ref="H32" r:id="rId31"/>
    <hyperlink ref="H34" r:id="rId32"/>
    <hyperlink ref="F35" r:id="rId33" display="https://www.youtube.com/presidenceTN"/>
    <hyperlink ref="J35" r:id="rId34" display="https://www.youtube.com/maetunisie"/>
    <hyperlink ref="E35" r:id="rId35"/>
    <hyperlink ref="F36" r:id="rId36" display="https://www.youtube.com/statehouseug"/>
    <hyperlink ref="H36" r:id="rId37" display="https://www.youtube.com/ugandamediacentre"/>
    <hyperlink ref="F55" r:id="rId38" display="https://www.youtube.com/ARG1880"/>
    <hyperlink ref="G55" r:id="rId39" display="https://www.youtube.com/channel/UCiHoMDXJQboJy1UEN-hBU9A"/>
    <hyperlink ref="H55" r:id="rId40" display="https://www.youtube.com/gmicafghanistan"/>
    <hyperlink ref="E55" r:id="rId41"/>
    <hyperlink ref="F56" r:id="rId42" display="https://www.youtube.com/presidentpress"/>
    <hyperlink ref="H56" r:id="rId43" display="https://www.youtube.com/egovernmentam"/>
    <hyperlink ref="J56" r:id="rId44"/>
    <hyperlink ref="E57" r:id="rId45" display="https://www.youtube.com/presidentaz"/>
    <hyperlink ref="J57" r:id="rId46" display="https://www.youtube.com/MFAAzerbaijan"/>
    <hyperlink ref="F58" r:id="rId47" display="https://www.youtube.com/bahraincpnews"/>
    <hyperlink ref="H58" r:id="rId48" display="https://www.youtube.com/egovbahrain"/>
    <hyperlink ref="J58" r:id="rId49" display="https://www.youtube.com/bahrainvideo"/>
    <hyperlink ref="H59" r:id="rId50"/>
    <hyperlink ref="G60" r:id="rId51"/>
    <hyperlink ref="E63" r:id="rId52" display="https://www.youtube.com/channel/UCBmnV-XxYK0kqqMWIqJmR7g"/>
    <hyperlink ref="J63" r:id="rId53" display="https://www.youtube.com/MFAGEO"/>
    <hyperlink ref="H63" r:id="rId54" display="https://www.youtube.com/channel/UCH7NgTLFA_Yxac7fvjVjEVA"/>
    <hyperlink ref="J64" r:id="rId55" display="https://www.youtube.com/Indiandiplomacy"/>
    <hyperlink ref="I64" r:id="rId56" display="https://www.youtube.com/MeaIndia"/>
    <hyperlink ref="G64" r:id="rId57"/>
    <hyperlink ref="F65" r:id="rId58"/>
    <hyperlink ref="E65" r:id="rId59"/>
    <hyperlink ref="H67" r:id="rId60" display="https://www.youtube.com/pmoiraqichannel"/>
    <hyperlink ref="I67" r:id="rId61" display="https://www.youtube.com/aljaffaary"/>
    <hyperlink ref="G67" r:id="rId62"/>
    <hyperlink ref="H68" r:id="rId63" display="https://www.youtube.com/israelipm"/>
    <hyperlink ref="J68" r:id="rId64" display="https://www.youtube.com/IsraelMFA"/>
    <hyperlink ref="G68" r:id="rId65"/>
    <hyperlink ref="H69" r:id="rId66" display="https://www.youtube.com/kanteijp"/>
    <hyperlink ref="N69" r:id="rId67" display="https://www.youtube.com/pmojapan"/>
    <hyperlink ref="E70" r:id="rId68" display="https://www.youtube.com/QueenRania"/>
    <hyperlink ref="F70" r:id="rId69" display="https://www.youtube.com/royalhashemitecourt"/>
    <hyperlink ref="F71" r:id="rId70" display="https://www.youtube.com/akordapress"/>
    <hyperlink ref="H71" r:id="rId71" display="https://www.youtube.com/primeministerkz"/>
    <hyperlink ref="J71" r:id="rId72" display="https://www.youtube.com/foreignministry"/>
    <hyperlink ref="L71" r:id="rId73" display="https://youtube.com/ortcomkzE"/>
    <hyperlink ref="G71" r:id="rId74"/>
    <hyperlink ref="N71" r:id="rId75" display="https://www.youtube.com/user/pmkzinfo"/>
    <hyperlink ref="J72" r:id="rId76"/>
    <hyperlink ref="F73" r:id="rId77" display="https://www.youtube.com/presidentkg"/>
    <hyperlink ref="E74" r:id="rId78"/>
    <hyperlink ref="I74" r:id="rId79" display="https://www.youtube.com/gebranbassil"/>
    <hyperlink ref="H75" r:id="rId80" display="https://www.youtube.com/PejabatPM"/>
    <hyperlink ref="G75" r:id="rId81" display="https://www.youtube.com/NajibRazak"/>
    <hyperlink ref="F76" r:id="rId82" display="https://www.youtube.com/presidencymv"/>
    <hyperlink ref="E77" r:id="rId83" display="https://www.youtube.com/presidentElbegdorj"/>
    <hyperlink ref="H77" r:id="rId84" display="https://www.youtube.com/TheZasag"/>
    <hyperlink ref="I77" r:id="rId85"/>
    <hyperlink ref="G79" r:id="rId86"/>
    <hyperlink ref="J80" r:id="rId87" display="https://www.youtube.com/mofaoman"/>
    <hyperlink ref="F81" r:id="rId88" display="https://www.youtube.com/RTVMalacanang"/>
    <hyperlink ref="E81" r:id="rId89" display="https://www.youtube.com/NoyTV"/>
    <hyperlink ref="H81" r:id="rId90"/>
    <hyperlink ref="N81" r:id="rId91" display="https://www.youtube.com/edp20111"/>
    <hyperlink ref="H82" r:id="rId92"/>
    <hyperlink ref="H83" r:id="rId93"/>
    <hyperlink ref="J83" r:id="rId94"/>
    <hyperlink ref="H84" r:id="rId95" display="https://www.youtube.com/govsingapore"/>
    <hyperlink ref="G84" r:id="rId96" display="https://www.youtube.com/pmosingapore"/>
    <hyperlink ref="F85" r:id="rId97" display="https://www.youtube.com/cheongwadaetv"/>
    <hyperlink ref="H85" r:id="rId98" display="https://www.youtube.com/primeministerkr"/>
    <hyperlink ref="J86" r:id="rId99" display="https://www.youtube.com/SLMFA"/>
    <hyperlink ref="E86" r:id="rId100"/>
    <hyperlink ref="K88" r:id="rId101"/>
    <hyperlink ref="F87" r:id="rId102" display="https://www.youtube.com/syrianpresidency"/>
    <hyperlink ref="H89" r:id="rId103"/>
    <hyperlink ref="G90" r:id="rId104" display="https://www.youtube.com/HHSMohammedBinRashid"/>
    <hyperlink ref="J90" r:id="rId105" display="https://www.youtube.com/MOFAUAE"/>
    <hyperlink ref="I90" r:id="rId106"/>
    <hyperlink ref="E90" r:id="rId107" display="https://www.youtube.com/kbzayed"/>
    <hyperlink ref="G91" r:id="rId108"/>
    <hyperlink ref="J102" r:id="rId109" display="https://www.youtube.com/channel/UCDDn9tvI20lElkuITgnbkqg"/>
    <hyperlink ref="H103" r:id="rId110" display="https://www.youtube.com/GovernAndorra"/>
    <hyperlink ref="H104" r:id="rId111" display="https://www.youtube.com/ihrbundeskanzleramt"/>
    <hyperlink ref="J104" r:id="rId112" display="https://www.youtube.com/Minoritenplatz8"/>
    <hyperlink ref="J105" r:id="rId113" display="https://www.youtube.com/BelarusMFA"/>
    <hyperlink ref="E104" r:id="rId114"/>
    <hyperlink ref="G104" r:id="rId115"/>
    <hyperlink ref="J106" r:id="rId116" display="https://www.youtube.com/diplomatiebelgium/"/>
    <hyperlink ref="J107" r:id="rId117" display="https://www.youtube.com/channel/UCky1dYxODbzZmrnmvsY415A"/>
    <hyperlink ref="H108" r:id="rId118" display="https://www.youtube.com/wwwvladahr"/>
    <hyperlink ref="J108" r:id="rId119" display="https://www.youtube.com/mveprh"/>
    <hyperlink ref="G107" r:id="rId120"/>
    <hyperlink ref="J109" r:id="rId121" display="https://www.youtube.com/udenrigsministeriet"/>
    <hyperlink ref="F110" r:id="rId122" display="https://www.youtube.com/presidendikantselei"/>
    <hyperlink ref="H110" r:id="rId123" display="https://www.youtube.com/valitsuseuudised"/>
    <hyperlink ref="J110" r:id="rId124" display="https://www.youtube.com/estonianmfa"/>
    <hyperlink ref="H200" r:id="rId125" display="https://www.youtube.com/eutube"/>
    <hyperlink ref="J200" r:id="rId126" display="https://www.youtube.com/EUExternalAction"/>
    <hyperlink ref="F200" r:id="rId127"/>
    <hyperlink ref="H111" r:id="rId128" display="https://www.youtube.com/VladaMakedonija"/>
    <hyperlink ref="J111" r:id="rId129" display="https://www.youtube.com/mnrmakedonija"/>
    <hyperlink ref="E111" r:id="rId130"/>
    <hyperlink ref="G111" r:id="rId131"/>
    <hyperlink ref="J112" r:id="rId132" display="https://www.youtube.com/ForminFinland/"/>
    <hyperlink ref="F113" r:id="rId133" display="https://www.youtube.com/ELYSEE"/>
    <hyperlink ref="J113" r:id="rId134" display="https://www.youtube.com/francediplotv"/>
    <hyperlink ref="E113" r:id="rId135"/>
    <hyperlink ref="H113" r:id="rId136"/>
    <hyperlink ref="F112" r:id="rId137"/>
    <hyperlink ref="G113" r:id="rId138"/>
    <hyperlink ref="H114" r:id="rId139" display="https://www.youtube.com/bundesregierung"/>
    <hyperlink ref="J114" r:id="rId140" display="https://www.youtube.com/AuswaertigesAmtDE"/>
    <hyperlink ref="P114" r:id="rId141" display="https://www.youtube.com/GermanyDiplo"/>
    <hyperlink ref="G115" r:id="rId142" display="https://www.youtube.com/PrimeMinisterGR"/>
    <hyperlink ref="J115" r:id="rId143" display="https://www.youtube.com/GreeceMFA"/>
    <hyperlink ref="H116" r:id="rId144" display="https://www.youtube.com/kormanyhu"/>
    <hyperlink ref="H118" r:id="rId145" display="https://www.youtube.com/merrionstreet"/>
    <hyperlink ref="F119" r:id="rId146" display="https://www.youtube.com/presidenzarepubblica"/>
    <hyperlink ref="H119" r:id="rId147" display="https://www.youtube.com/palazzochigi"/>
    <hyperlink ref="J119" r:id="rId148" display="https://www.youtube.com/MinisteroEsteri"/>
    <hyperlink ref="G119" r:id="rId149"/>
    <hyperlink ref="I119" r:id="rId150"/>
    <hyperlink ref="E197" r:id="rId151" display="https://www.youtube.com/presidencakosoves"/>
    <hyperlink ref="J197" r:id="rId152" display="https://www.youtube.com/MFAMPJMIP"/>
    <hyperlink ref="G197" r:id="rId153" display="https://www.youtube.com/hashimthaciofficial"/>
    <hyperlink ref="H120" r:id="rId154" display="https://www.youtube.com/valstskanceleja"/>
    <hyperlink ref="J120" r:id="rId155" display="https://www.youtube.com/LatvianMFA"/>
    <hyperlink ref="F120" r:id="rId156"/>
    <hyperlink ref="E120" r:id="rId157" display="https://www.youtube.com/channel/UChG7C8090M0h6eCU8TM-vGQ"/>
    <hyperlink ref="H121" r:id="rId158" display="https://www.youtube.com/RegierungFL"/>
    <hyperlink ref="F122" r:id="rId159" display="https://www.youtube.com/PresidentofLithuania"/>
    <hyperlink ref="H122" r:id="rId160" display="https://www.youtube.com/lrvyriausybe"/>
    <hyperlink ref="J122" r:id="rId161" display="https://www.youtube.com/MFAofLITHUANIA"/>
    <hyperlink ref="G123" r:id="rId162" display="https://www.youtube.com/JosephMUSCATdotcom"/>
    <hyperlink ref="H123" r:id="rId163"/>
    <hyperlink ref="E124" r:id="rId164" display="https://www.youtube.com/channel/UCIXYOBuejyv3il1g8Gd0tHw"/>
    <hyperlink ref="J124" r:id="rId165" display="https://www.youtube.com/MAEIERM"/>
    <hyperlink ref="H126" r:id="rId166" display="https://www.youtube.com/MeGovernment"/>
    <hyperlink ref="F127" r:id="rId167" display="https://www.youtube.com/koninklijkhuis"/>
    <hyperlink ref="G127" r:id="rId168" display="https://www.youtube.com/DeMinPres"/>
    <hyperlink ref="J127" r:id="rId169" display="https://www.youtube.com/ministerieBZ"/>
    <hyperlink ref="N127" r:id="rId170" display="https://www.youtube.com/DutchGovernment"/>
    <hyperlink ref="H127" r:id="rId171" display="https://www.youtube.com/rijksoverheid"/>
    <hyperlink ref="F128" r:id="rId172" display="https://www.youtube.com/kongehuset"/>
    <hyperlink ref="G128" r:id="rId173" display="https://www.youtube.com/channel/UCV2LlBkQ9S1oli8q4tQw5uQ"/>
    <hyperlink ref="F129" r:id="rId174" display="https://www.youtube.com/wwwprezydentpl"/>
    <hyperlink ref="H129" r:id="rId175" display="https://www.youtube.com/KancelariaPremiera"/>
    <hyperlink ref="J129" r:id="rId176" display="https://www.youtube.com/PolandMFA"/>
    <hyperlink ref="E129" r:id="rId177"/>
    <hyperlink ref="G129" r:id="rId178"/>
    <hyperlink ref="F130" r:id="rId179" display="https://www.youtube.com/PresidenciaRepublica"/>
    <hyperlink ref="E130" r:id="rId180"/>
    <hyperlink ref="H131" r:id="rId181" display="https://www.youtube.com/guvernulromaniei"/>
    <hyperlink ref="J131" r:id="rId182" display="https://www.youtube.com/MAERomania"/>
    <hyperlink ref="E131" r:id="rId183"/>
    <hyperlink ref="F132" r:id="rId184" display="https://www.youtube.com/kremlin"/>
    <hyperlink ref="J132" r:id="rId185" display="https://www.youtube.com/midrftube"/>
    <hyperlink ref="H132" r:id="rId186"/>
    <hyperlink ref="G133" r:id="rId187"/>
    <hyperlink ref="J134" r:id="rId188" display="https://www.youtube.com/mzvsr"/>
    <hyperlink ref="G134" r:id="rId189"/>
    <hyperlink ref="E134" r:id="rId190" display="https://www.youtube.com/andrejkiska"/>
    <hyperlink ref="J135" r:id="rId191" display="https://www.youtube.com/channel/UCQr43X77Pvbyl3bsO6xjFmA"/>
    <hyperlink ref="E135" r:id="rId192"/>
    <hyperlink ref="H136" r:id="rId193" display="https://www.youtube.com/lamoncloa"/>
    <hyperlink ref="J136" r:id="rId194" display="https://www.youtube.com/canalmaectv"/>
    <hyperlink ref="F137" r:id="rId195" display="https://www.youtube.com/kungahuset"/>
    <hyperlink ref="J137" r:id="rId196" display="https://www.youtube.com/Utrikesdepartementet"/>
    <hyperlink ref="G136" r:id="rId197"/>
    <hyperlink ref="J139" r:id="rId198" display="https://www.youtube.com/TCDisisleri"/>
    <hyperlink ref="G139" r:id="rId199"/>
    <hyperlink ref="I139" r:id="rId200"/>
    <hyperlink ref="P139" r:id="rId201" display="https://www.youtube.com/kamudiplomasisi"/>
    <hyperlink ref="F139" r:id="rId202" display="https://www.youtube.com/tccumhurbaskanligi"/>
    <hyperlink ref="H139" r:id="rId203"/>
    <hyperlink ref="K139" r:id="rId204" display="https://www.youtube.com/trpresidency"/>
    <hyperlink ref="F140" r:id="rId205" display="https://www.youtube.com/PresidentGovUa"/>
    <hyperlink ref="J140" r:id="rId206" display="https://www.youtube.com/UkraineMFA"/>
    <hyperlink ref="E140" r:id="rId207" display="https://www.youtube.com/poroshenkopetro"/>
    <hyperlink ref="F141" r:id="rId208" display="https://www.youtube.com/TheRoyalChannel"/>
    <hyperlink ref="H141" r:id="rId209" display="https://www.youtube.com/number10gov"/>
    <hyperlink ref="J141" r:id="rId210" display="https://www.youtube.com/ukforeignoffice"/>
    <hyperlink ref="N141" r:id="rId211"/>
    <hyperlink ref="F198" r:id="rId212" display="https://www.youtube.com/vatican"/>
    <hyperlink ref="H147" r:id="rId213" display="https://www.youtube.com/antiguagovernment"/>
    <hyperlink ref="H149" r:id="rId214" display="https://www.youtube.com/gobpressoffice"/>
    <hyperlink ref="J150" r:id="rId215" display="https://www.youtube.com/channel/UCIVMBvs03h74NSdQMH31jKA"/>
    <hyperlink ref="P150" r:id="rId216" display="https://www.youtube.com/channel/UCC8So6wZcnVYKCI1tRdw6yg"/>
    <hyperlink ref="G150" r:id="rId217"/>
    <hyperlink ref="F151" r:id="rId218" display="https://www.youtube.com/CasaPresidencialCR"/>
    <hyperlink ref="H152" r:id="rId219" display="https://www.youtube.com/cubadebatecu"/>
    <hyperlink ref="J152" r:id="rId220" display="https://www.youtube.com/cubaminrex"/>
    <hyperlink ref="E151" r:id="rId221"/>
    <hyperlink ref="F154" r:id="rId222" display="https://www.youtube.com/PresidenciaRDom"/>
    <hyperlink ref="J154" r:id="rId223"/>
    <hyperlink ref="F155" r:id="rId224" display="https://www.youtube.com/CasaPresidencialSV"/>
    <hyperlink ref="J155" r:id="rId225" display="https://www.youtube.com/cancilleria1"/>
    <hyperlink ref="E155" r:id="rId226" display="https://www.youtube.com/salvadorpresidente"/>
    <hyperlink ref="H156" r:id="rId227" display="https://www.youtube.com/govgd"/>
    <hyperlink ref="H157" r:id="rId228" display="https://www.youtube.com/GobiernodeGuatemala"/>
    <hyperlink ref="E157" r:id="rId229" display="https://www.youtube.com/jimmymoralesgt"/>
    <hyperlink ref="E158" r:id="rId230" display="https://www.youtube.com/martelly2010"/>
    <hyperlink ref="J158" r:id="rId231"/>
    <hyperlink ref="H158" r:id="rId232"/>
    <hyperlink ref="E161" r:id="rId233" display="https://www.youtube.com/EnriquePenaNietoTV"/>
    <hyperlink ref="H161" r:id="rId234" display="https://www.youtube.com/gobiernorepublicamx"/>
    <hyperlink ref="H160" r:id="rId235"/>
    <hyperlink ref="J161" r:id="rId236"/>
    <hyperlink ref="F162" r:id="rId237" display="https://www.youtube.com/GobiernoNacionalPTY"/>
    <hyperlink ref="J162" r:id="rId238" display="https://www.youtube.com/minrexpanama"/>
    <hyperlink ref="H166" r:id="rId239"/>
    <hyperlink ref="J166" r:id="rId240"/>
    <hyperlink ref="H164" r:id="rId241" display="https://www.youtube.com/saintluciagovernment"/>
    <hyperlink ref="F167" r:id="rId242" display="https://www.youtube.com/whitehouse"/>
    <hyperlink ref="J167" r:id="rId243" display="https://www.youtube.com/statevideo"/>
    <hyperlink ref="E167" r:id="rId244"/>
    <hyperlink ref="P167" r:id="rId245"/>
    <hyperlink ref="J170" r:id="rId246" display="https://www.youtube.com/dfat"/>
    <hyperlink ref="H171" r:id="rId247" display="https://www.youtube.com/minfofiji"/>
    <hyperlink ref="J171" r:id="rId248" display="https://www.youtube.com/foreignaffairsfiji"/>
    <hyperlink ref="H173" r:id="rId249" display="https://www.youtube.com/GovernmentofSamoa"/>
    <hyperlink ref="H174" r:id="rId250" display="https://www.youtube.com/vanuatugovernment"/>
    <hyperlink ref="F183" r:id="rId251" display="https://www.youtube.com/casarosada"/>
    <hyperlink ref="J183" r:id="rId252" display="https://www.youtube.com/MRECICARG"/>
    <hyperlink ref="E183" r:id="rId253"/>
    <hyperlink ref="H184" r:id="rId254"/>
    <hyperlink ref="J185" r:id="rId255" display="https://www.youtube.com/mrebrasil"/>
    <hyperlink ref="E185" r:id="rId256" display="https://www.youtube.com/dilmarousseff"/>
    <hyperlink ref="F185" r:id="rId257" display="https://www.youtube.com/palaciodoplanalto"/>
    <hyperlink ref="H185" r:id="rId258" display="https://www.youtube.com/portalbrasil"/>
    <hyperlink ref="H186" r:id="rId259" display="https://www.youtube.com/lamoneda"/>
    <hyperlink ref="E186" r:id="rId260" display="https://www.youtube.com/michellebacheletpdta"/>
    <hyperlink ref="F187" r:id="rId261" display="https://www.youtube.com/sigcolombia"/>
    <hyperlink ref="J187" r:id="rId262" display="https://www.youtube.com/CancilleriaCol"/>
    <hyperlink ref="F188" r:id="rId263" display="https://www.youtube.com/presidenciaec"/>
    <hyperlink ref="I188" r:id="rId264" display="https://www.youtube.com/RicardoPatinoA"/>
    <hyperlink ref="J188" r:id="rId265" display="https://www.youtube.com/CancilleriaEcuador"/>
    <hyperlink ref="E188" r:id="rId266"/>
    <hyperlink ref="F189" r:id="rId267" display="https://www.youtube.com/channel/UCv3Sy8PzrAlxncQ9BjOYi9A"/>
    <hyperlink ref="J189" r:id="rId268"/>
    <hyperlink ref="F190" r:id="rId269" display="https://www.youtube.com/PresidenciaPeru"/>
    <hyperlink ref="J190" r:id="rId270" display="https://www.youtube.com/MREPeru"/>
    <hyperlink ref="H190" r:id="rId271" display="https://www.youtube.com/pcmperu"/>
    <hyperlink ref="F191" r:id="rId272" display="https://www.youtube.com/Presidenciatv"/>
    <hyperlink ref="P191" r:id="rId273" display="https://www.youtube.com/channel/UCQK5oclaX919o8lUZGwXQFg"/>
    <hyperlink ref="E192" r:id="rId274" display="https://www.youtube.com/maduromoros"/>
    <hyperlink ref="J192" r:id="rId275" display="https://www.youtube.com/mpprevideos"/>
    <hyperlink ref="F11" r:id="rId276"/>
    <hyperlink ref="P68" r:id="rId277"/>
    <hyperlink ref="H64" r:id="rId278"/>
    <hyperlink ref="I106" r:id="rId27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81"/>
  <sheetViews>
    <sheetView topLeftCell="A37" workbookViewId="0">
      <selection activeCell="B59" sqref="B59"/>
    </sheetView>
  </sheetViews>
  <sheetFormatPr defaultRowHeight="14.5" x14ac:dyDescent="0.35"/>
  <cols>
    <col min="1" max="1" width="9.1796875" customWidth="1"/>
    <col min="2" max="2" width="40.26953125" customWidth="1"/>
    <col min="3" max="3" width="31" customWidth="1"/>
    <col min="4" max="4" width="22.81640625" customWidth="1"/>
    <col min="5" max="5" width="18.1796875" customWidth="1"/>
    <col min="7" max="7" width="8.7265625" customWidth="1"/>
    <col min="16" max="16" width="16.7265625" customWidth="1"/>
    <col min="17" max="17" width="22.81640625" customWidth="1"/>
    <col min="18" max="18" width="24.54296875" customWidth="1"/>
    <col min="19" max="19" width="17" customWidth="1"/>
  </cols>
  <sheetData>
    <row r="1" spans="2:5" ht="15" customHeight="1" x14ac:dyDescent="0.35"/>
    <row r="2" spans="2:5" ht="15" thickBot="1" x14ac:dyDescent="0.4"/>
    <row r="3" spans="2:5" x14ac:dyDescent="0.35">
      <c r="B3" s="101" t="s">
        <v>1069</v>
      </c>
      <c r="C3" s="102"/>
      <c r="D3" s="102"/>
      <c r="E3" s="103"/>
    </row>
    <row r="4" spans="2:5" ht="15" thickBot="1" x14ac:dyDescent="0.4">
      <c r="B4" s="105" t="s">
        <v>1070</v>
      </c>
      <c r="C4" s="47"/>
      <c r="D4" s="47"/>
      <c r="E4" s="106"/>
    </row>
    <row r="5" spans="2:5" ht="15.5" x14ac:dyDescent="0.35">
      <c r="B5" s="149" t="s">
        <v>1071</v>
      </c>
      <c r="C5" s="84" t="s">
        <v>288</v>
      </c>
      <c r="D5" s="107" t="s">
        <v>852</v>
      </c>
      <c r="E5" s="124">
        <v>682790</v>
      </c>
    </row>
    <row r="6" spans="2:5" ht="15.5" x14ac:dyDescent="0.35">
      <c r="B6" s="150" t="s">
        <v>914</v>
      </c>
      <c r="C6" s="87" t="s">
        <v>749</v>
      </c>
      <c r="D6" s="100" t="s">
        <v>1086</v>
      </c>
      <c r="E6" s="125">
        <v>532192</v>
      </c>
    </row>
    <row r="7" spans="2:5" ht="15.5" x14ac:dyDescent="0.35">
      <c r="B7" s="150" t="s">
        <v>1072</v>
      </c>
      <c r="C7" s="87" t="s">
        <v>489</v>
      </c>
      <c r="D7" s="100" t="s">
        <v>743</v>
      </c>
      <c r="E7" s="125">
        <v>315348</v>
      </c>
    </row>
    <row r="8" spans="2:5" ht="15.5" x14ac:dyDescent="0.35">
      <c r="B8" s="150" t="s">
        <v>868</v>
      </c>
      <c r="C8" s="87" t="s">
        <v>246</v>
      </c>
      <c r="D8" s="100" t="s">
        <v>1088</v>
      </c>
      <c r="E8" s="125">
        <v>149030</v>
      </c>
    </row>
    <row r="9" spans="2:5" ht="15.5" x14ac:dyDescent="0.35">
      <c r="B9" s="150" t="s">
        <v>1073</v>
      </c>
      <c r="C9" s="92" t="s">
        <v>249</v>
      </c>
      <c r="D9" s="100" t="s">
        <v>864</v>
      </c>
      <c r="E9" s="125">
        <v>141120</v>
      </c>
    </row>
    <row r="10" spans="2:5" ht="15.5" x14ac:dyDescent="0.35">
      <c r="B10" s="150" t="s">
        <v>1074</v>
      </c>
      <c r="C10" s="87" t="s">
        <v>615</v>
      </c>
      <c r="D10" s="100" t="s">
        <v>854</v>
      </c>
      <c r="E10" s="125">
        <v>88255</v>
      </c>
    </row>
    <row r="11" spans="2:5" ht="15.5" x14ac:dyDescent="0.35">
      <c r="B11" s="150" t="s">
        <v>1075</v>
      </c>
      <c r="C11" s="87" t="s">
        <v>747</v>
      </c>
      <c r="D11" s="100" t="s">
        <v>748</v>
      </c>
      <c r="E11" s="125">
        <v>79270</v>
      </c>
    </row>
    <row r="12" spans="2:5" ht="15.5" x14ac:dyDescent="0.35">
      <c r="B12" s="150" t="s">
        <v>890</v>
      </c>
      <c r="C12" s="79" t="s">
        <v>741</v>
      </c>
      <c r="D12" s="100" t="s">
        <v>745</v>
      </c>
      <c r="E12" s="125">
        <v>58032</v>
      </c>
    </row>
    <row r="13" spans="2:5" ht="15.5" x14ac:dyDescent="0.35">
      <c r="B13" s="155" t="s">
        <v>1194</v>
      </c>
      <c r="C13" s="87" t="s">
        <v>829</v>
      </c>
      <c r="D13" s="100" t="s">
        <v>743</v>
      </c>
      <c r="E13" s="125">
        <v>57135</v>
      </c>
    </row>
    <row r="14" spans="2:5" ht="16" thickBot="1" x14ac:dyDescent="0.4">
      <c r="B14" s="151" t="s">
        <v>871</v>
      </c>
      <c r="C14" s="90" t="s">
        <v>115</v>
      </c>
      <c r="D14" s="104" t="s">
        <v>1087</v>
      </c>
      <c r="E14" s="126">
        <v>43431</v>
      </c>
    </row>
    <row r="15" spans="2:5" x14ac:dyDescent="0.35">
      <c r="B15" s="32"/>
    </row>
    <row r="16" spans="2:5" ht="15" thickBot="1" x14ac:dyDescent="0.4">
      <c r="B16" s="32"/>
    </row>
    <row r="17" spans="2:5" x14ac:dyDescent="0.35">
      <c r="B17" s="101" t="s">
        <v>1089</v>
      </c>
      <c r="C17" s="102"/>
      <c r="D17" s="102"/>
      <c r="E17" s="103"/>
    </row>
    <row r="18" spans="2:5" ht="15" thickBot="1" x14ac:dyDescent="0.4">
      <c r="B18" s="105" t="s">
        <v>1090</v>
      </c>
      <c r="C18" s="47"/>
      <c r="D18" s="47"/>
      <c r="E18" s="106"/>
    </row>
    <row r="19" spans="2:5" x14ac:dyDescent="0.35">
      <c r="B19" s="149" t="s">
        <v>914</v>
      </c>
      <c r="C19" s="84" t="s">
        <v>749</v>
      </c>
      <c r="D19" s="107" t="s">
        <v>1086</v>
      </c>
      <c r="E19" s="127">
        <v>300397770</v>
      </c>
    </row>
    <row r="20" spans="2:5" x14ac:dyDescent="0.35">
      <c r="B20" s="150" t="s">
        <v>1071</v>
      </c>
      <c r="C20" s="87" t="s">
        <v>288</v>
      </c>
      <c r="D20" s="100" t="s">
        <v>852</v>
      </c>
      <c r="E20" s="89">
        <v>249075458</v>
      </c>
    </row>
    <row r="21" spans="2:5" x14ac:dyDescent="0.35">
      <c r="B21" s="150" t="s">
        <v>1074</v>
      </c>
      <c r="C21" s="87" t="s">
        <v>615</v>
      </c>
      <c r="D21" s="100" t="s">
        <v>854</v>
      </c>
      <c r="E21" s="89">
        <v>71821380</v>
      </c>
    </row>
    <row r="22" spans="2:5" x14ac:dyDescent="0.35">
      <c r="B22" s="150" t="s">
        <v>1075</v>
      </c>
      <c r="C22" s="87" t="s">
        <v>747</v>
      </c>
      <c r="D22" s="100" t="s">
        <v>748</v>
      </c>
      <c r="E22" s="89">
        <v>68329120</v>
      </c>
    </row>
    <row r="23" spans="2:5" x14ac:dyDescent="0.35">
      <c r="B23" s="150" t="s">
        <v>868</v>
      </c>
      <c r="C23" s="87" t="s">
        <v>246</v>
      </c>
      <c r="D23" s="100" t="s">
        <v>1088</v>
      </c>
      <c r="E23" s="89">
        <v>54231140</v>
      </c>
    </row>
    <row r="24" spans="2:5" x14ac:dyDescent="0.35">
      <c r="B24" s="150" t="s">
        <v>1072</v>
      </c>
      <c r="C24" s="87" t="s">
        <v>489</v>
      </c>
      <c r="D24" s="100" t="s">
        <v>743</v>
      </c>
      <c r="E24" s="89">
        <v>46755593</v>
      </c>
    </row>
    <row r="25" spans="2:5" x14ac:dyDescent="0.35">
      <c r="B25" s="150" t="s">
        <v>1073</v>
      </c>
      <c r="C25" s="87" t="s">
        <v>380</v>
      </c>
      <c r="D25" s="100" t="s">
        <v>864</v>
      </c>
      <c r="E25" s="89">
        <v>29675911</v>
      </c>
    </row>
    <row r="26" spans="2:5" x14ac:dyDescent="0.35">
      <c r="B26" s="150" t="s">
        <v>869</v>
      </c>
      <c r="C26" s="87" t="s">
        <v>182</v>
      </c>
      <c r="D26" s="100" t="s">
        <v>865</v>
      </c>
      <c r="E26" s="89">
        <v>25091698</v>
      </c>
    </row>
    <row r="27" spans="2:5" x14ac:dyDescent="0.35">
      <c r="B27" s="150" t="s">
        <v>1078</v>
      </c>
      <c r="C27" s="87" t="s">
        <v>330</v>
      </c>
      <c r="D27" s="100" t="s">
        <v>866</v>
      </c>
      <c r="E27" s="89">
        <v>24217595</v>
      </c>
    </row>
    <row r="28" spans="2:5" ht="15" thickBot="1" x14ac:dyDescent="0.4">
      <c r="B28" s="151" t="s">
        <v>870</v>
      </c>
      <c r="C28" s="90" t="s">
        <v>519</v>
      </c>
      <c r="D28" s="104" t="s">
        <v>867</v>
      </c>
      <c r="E28" s="91">
        <v>19894061</v>
      </c>
    </row>
    <row r="29" spans="2:5" x14ac:dyDescent="0.35">
      <c r="B29" s="130"/>
      <c r="C29" s="132"/>
      <c r="D29" s="140"/>
      <c r="E29" s="133"/>
    </row>
    <row r="30" spans="2:5" ht="15" thickBot="1" x14ac:dyDescent="0.4">
      <c r="B30" s="32"/>
    </row>
    <row r="31" spans="2:5" x14ac:dyDescent="0.35">
      <c r="B31" s="101" t="s">
        <v>1080</v>
      </c>
      <c r="C31" s="102"/>
      <c r="D31" s="102"/>
      <c r="E31" s="103"/>
    </row>
    <row r="32" spans="2:5" ht="15" thickBot="1" x14ac:dyDescent="0.4">
      <c r="B32" s="105" t="s">
        <v>1081</v>
      </c>
      <c r="C32" s="47"/>
      <c r="D32" s="47"/>
      <c r="E32" s="106"/>
    </row>
    <row r="33" spans="2:5" x14ac:dyDescent="0.35">
      <c r="B33" s="149" t="s">
        <v>914</v>
      </c>
      <c r="C33" s="136" t="s">
        <v>749</v>
      </c>
      <c r="D33" s="107" t="s">
        <v>1086</v>
      </c>
      <c r="E33" s="137">
        <v>100065.87941372418</v>
      </c>
    </row>
    <row r="34" spans="2:5" x14ac:dyDescent="0.35">
      <c r="B34" s="150" t="s">
        <v>871</v>
      </c>
      <c r="C34" s="88" t="s">
        <v>115</v>
      </c>
      <c r="D34" s="100" t="s">
        <v>1087</v>
      </c>
      <c r="E34" s="138">
        <v>98357.145833333328</v>
      </c>
    </row>
    <row r="35" spans="2:5" x14ac:dyDescent="0.35">
      <c r="B35" s="150" t="s">
        <v>1076</v>
      </c>
      <c r="C35" s="88" t="s">
        <v>497</v>
      </c>
      <c r="D35" s="100" t="s">
        <v>1082</v>
      </c>
      <c r="E35" s="138">
        <v>74915.923076923078</v>
      </c>
    </row>
    <row r="36" spans="2:5" x14ac:dyDescent="0.35">
      <c r="B36" s="150" t="s">
        <v>868</v>
      </c>
      <c r="C36" s="88" t="s">
        <v>246</v>
      </c>
      <c r="D36" s="100" t="s">
        <v>1088</v>
      </c>
      <c r="E36" s="138">
        <v>61696.405005688284</v>
      </c>
    </row>
    <row r="37" spans="2:5" x14ac:dyDescent="0.35">
      <c r="B37" s="150" t="s">
        <v>890</v>
      </c>
      <c r="C37" s="88" t="s">
        <v>750</v>
      </c>
      <c r="D37" s="100" t="s">
        <v>745</v>
      </c>
      <c r="E37" s="138">
        <v>54317.238095238092</v>
      </c>
    </row>
    <row r="38" spans="2:5" x14ac:dyDescent="0.35">
      <c r="B38" s="150" t="s">
        <v>1077</v>
      </c>
      <c r="C38" s="88" t="s">
        <v>821</v>
      </c>
      <c r="D38" s="100" t="s">
        <v>1083</v>
      </c>
      <c r="E38" s="138">
        <v>53698.932038834952</v>
      </c>
    </row>
    <row r="39" spans="2:5" x14ac:dyDescent="0.35">
      <c r="B39" s="150" t="s">
        <v>1067</v>
      </c>
      <c r="C39" s="88" t="s">
        <v>538</v>
      </c>
      <c r="D39" s="100" t="s">
        <v>1084</v>
      </c>
      <c r="E39" s="138">
        <v>46969.599999999999</v>
      </c>
    </row>
    <row r="40" spans="2:5" x14ac:dyDescent="0.35">
      <c r="B40" s="150" t="s">
        <v>1071</v>
      </c>
      <c r="C40" s="88" t="s">
        <v>288</v>
      </c>
      <c r="D40" s="100" t="s">
        <v>852</v>
      </c>
      <c r="E40" s="138">
        <v>39348.413586097944</v>
      </c>
    </row>
    <row r="41" spans="2:5" x14ac:dyDescent="0.35">
      <c r="B41" s="150" t="s">
        <v>1068</v>
      </c>
      <c r="C41" s="88" t="s">
        <v>502</v>
      </c>
      <c r="D41" s="100" t="s">
        <v>1085</v>
      </c>
      <c r="E41" s="138">
        <v>33982.367816091952</v>
      </c>
    </row>
    <row r="42" spans="2:5" ht="15" thickBot="1" x14ac:dyDescent="0.4">
      <c r="B42" s="151" t="s">
        <v>869</v>
      </c>
      <c r="C42" s="135" t="s">
        <v>182</v>
      </c>
      <c r="D42" s="104" t="s">
        <v>865</v>
      </c>
      <c r="E42" s="139">
        <v>27452.623632385119</v>
      </c>
    </row>
    <row r="43" spans="2:5" x14ac:dyDescent="0.35">
      <c r="B43" s="32"/>
    </row>
    <row r="44" spans="2:5" ht="15" thickBot="1" x14ac:dyDescent="0.4">
      <c r="B44" s="32"/>
    </row>
    <row r="45" spans="2:5" x14ac:dyDescent="0.35">
      <c r="B45" s="101" t="s">
        <v>1094</v>
      </c>
      <c r="C45" s="102"/>
      <c r="D45" s="102"/>
      <c r="E45" s="103"/>
    </row>
    <row r="46" spans="2:5" ht="15" thickBot="1" x14ac:dyDescent="0.4">
      <c r="B46" s="105" t="s">
        <v>1091</v>
      </c>
      <c r="C46" s="47"/>
      <c r="D46" s="47"/>
      <c r="E46" s="106"/>
    </row>
    <row r="47" spans="2:5" x14ac:dyDescent="0.35">
      <c r="B47" s="157" t="s">
        <v>857</v>
      </c>
      <c r="C47" s="84" t="s">
        <v>613</v>
      </c>
      <c r="D47" s="107" t="s">
        <v>758</v>
      </c>
      <c r="E47" s="85">
        <v>8696</v>
      </c>
    </row>
    <row r="48" spans="2:5" x14ac:dyDescent="0.35">
      <c r="B48" s="158" t="s">
        <v>858</v>
      </c>
      <c r="C48" s="87" t="s">
        <v>387</v>
      </c>
      <c r="D48" s="100" t="s">
        <v>850</v>
      </c>
      <c r="E48" s="89">
        <v>8200</v>
      </c>
    </row>
    <row r="49" spans="2:5" x14ac:dyDescent="0.35">
      <c r="B49" s="158" t="s">
        <v>859</v>
      </c>
      <c r="C49" s="87" t="s">
        <v>289</v>
      </c>
      <c r="D49" s="100" t="s">
        <v>851</v>
      </c>
      <c r="E49" s="89">
        <v>6412</v>
      </c>
    </row>
    <row r="50" spans="2:5" x14ac:dyDescent="0.35">
      <c r="B50" s="158" t="s">
        <v>1071</v>
      </c>
      <c r="C50" s="87" t="s">
        <v>288</v>
      </c>
      <c r="D50" s="100" t="s">
        <v>852</v>
      </c>
      <c r="E50" s="89">
        <v>6330</v>
      </c>
    </row>
    <row r="51" spans="2:5" x14ac:dyDescent="0.35">
      <c r="B51" s="158" t="s">
        <v>1075</v>
      </c>
      <c r="C51" s="87" t="s">
        <v>747</v>
      </c>
      <c r="D51" s="100" t="s">
        <v>748</v>
      </c>
      <c r="E51" s="89">
        <v>6042</v>
      </c>
    </row>
    <row r="52" spans="2:5" x14ac:dyDescent="0.35">
      <c r="B52" s="158" t="s">
        <v>1072</v>
      </c>
      <c r="C52" s="87" t="s">
        <v>489</v>
      </c>
      <c r="D52" s="100" t="s">
        <v>743</v>
      </c>
      <c r="E52" s="89">
        <v>5555</v>
      </c>
    </row>
    <row r="53" spans="2:5" x14ac:dyDescent="0.35">
      <c r="B53" s="158" t="s">
        <v>861</v>
      </c>
      <c r="C53" s="87" t="s">
        <v>499</v>
      </c>
      <c r="D53" s="100" t="s">
        <v>853</v>
      </c>
      <c r="E53" s="89">
        <v>5024</v>
      </c>
    </row>
    <row r="54" spans="2:5" x14ac:dyDescent="0.35">
      <c r="B54" s="158" t="s">
        <v>1074</v>
      </c>
      <c r="C54" s="87" t="s">
        <v>615</v>
      </c>
      <c r="D54" s="100" t="s">
        <v>854</v>
      </c>
      <c r="E54" s="89">
        <v>4215</v>
      </c>
    </row>
    <row r="55" spans="2:5" x14ac:dyDescent="0.35">
      <c r="B55" s="158" t="s">
        <v>862</v>
      </c>
      <c r="C55" s="87" t="s">
        <v>827</v>
      </c>
      <c r="D55" s="100" t="s">
        <v>855</v>
      </c>
      <c r="E55" s="89">
        <v>3832</v>
      </c>
    </row>
    <row r="56" spans="2:5" ht="15" thickBot="1" x14ac:dyDescent="0.4">
      <c r="B56" s="159" t="s">
        <v>863</v>
      </c>
      <c r="C56" s="90" t="s">
        <v>353</v>
      </c>
      <c r="D56" s="104" t="s">
        <v>856</v>
      </c>
      <c r="E56" s="91">
        <v>3482</v>
      </c>
    </row>
    <row r="57" spans="2:5" x14ac:dyDescent="0.35">
      <c r="B57" s="32"/>
    </row>
    <row r="58" spans="2:5" ht="15" thickBot="1" x14ac:dyDescent="0.4">
      <c r="B58" s="32"/>
    </row>
    <row r="59" spans="2:5" x14ac:dyDescent="0.35">
      <c r="B59" s="101" t="s">
        <v>1080</v>
      </c>
      <c r="C59" s="128"/>
      <c r="D59" s="128"/>
      <c r="E59" s="129"/>
    </row>
    <row r="60" spans="2:5" ht="15" thickBot="1" x14ac:dyDescent="0.4">
      <c r="B60" s="105" t="s">
        <v>1093</v>
      </c>
      <c r="C60" s="130"/>
      <c r="D60" s="130"/>
      <c r="E60" s="131"/>
    </row>
    <row r="61" spans="2:5" ht="15.5" x14ac:dyDescent="0.35">
      <c r="B61" s="42" t="s">
        <v>914</v>
      </c>
      <c r="C61" s="84" t="s">
        <v>749</v>
      </c>
      <c r="D61" s="107" t="s">
        <v>1086</v>
      </c>
      <c r="E61" s="141">
        <v>750.37941372418391</v>
      </c>
    </row>
    <row r="62" spans="2:5" ht="15.5" x14ac:dyDescent="0.35">
      <c r="B62" s="45" t="s">
        <v>890</v>
      </c>
      <c r="C62" s="79" t="s">
        <v>741</v>
      </c>
      <c r="D62" s="100" t="s">
        <v>745</v>
      </c>
      <c r="E62" s="142">
        <v>628.17460317460313</v>
      </c>
    </row>
    <row r="63" spans="2:5" ht="15.5" x14ac:dyDescent="0.35">
      <c r="B63" s="45" t="s">
        <v>860</v>
      </c>
      <c r="C63" s="87" t="s">
        <v>288</v>
      </c>
      <c r="D63" s="100" t="s">
        <v>1092</v>
      </c>
      <c r="E63" s="142">
        <v>582.68751974723534</v>
      </c>
    </row>
    <row r="64" spans="2:5" ht="15.5" x14ac:dyDescent="0.35">
      <c r="B64" s="45" t="s">
        <v>1068</v>
      </c>
      <c r="C64" s="87" t="s">
        <v>502</v>
      </c>
      <c r="D64" s="100" t="s">
        <v>1085</v>
      </c>
      <c r="E64" s="142">
        <v>411.35632183908046</v>
      </c>
    </row>
    <row r="65" spans="2:5" ht="15.5" x14ac:dyDescent="0.35">
      <c r="B65" s="45" t="s">
        <v>930</v>
      </c>
      <c r="C65" s="87" t="s">
        <v>516</v>
      </c>
      <c r="D65" s="100" t="s">
        <v>928</v>
      </c>
      <c r="E65" s="142">
        <v>367.93333333333334</v>
      </c>
    </row>
    <row r="66" spans="2:5" ht="15.5" x14ac:dyDescent="0.35">
      <c r="B66" s="45" t="s">
        <v>870</v>
      </c>
      <c r="C66" s="87" t="s">
        <v>519</v>
      </c>
      <c r="D66" s="100" t="s">
        <v>867</v>
      </c>
      <c r="E66" s="142">
        <v>346.94335347432025</v>
      </c>
    </row>
    <row r="67" spans="2:5" ht="15.5" x14ac:dyDescent="0.35">
      <c r="B67" s="45" t="s">
        <v>1095</v>
      </c>
      <c r="C67" s="87" t="s">
        <v>586</v>
      </c>
      <c r="D67" s="100" t="s">
        <v>876</v>
      </c>
      <c r="E67" s="142">
        <v>311.49180327868851</v>
      </c>
    </row>
    <row r="68" spans="2:5" ht="15.5" x14ac:dyDescent="0.35">
      <c r="B68" s="45" t="s">
        <v>871</v>
      </c>
      <c r="C68" s="87" t="s">
        <v>115</v>
      </c>
      <c r="D68" s="100" t="s">
        <v>1087</v>
      </c>
      <c r="E68" s="142">
        <v>262.625</v>
      </c>
    </row>
    <row r="69" spans="2:5" ht="15.5" x14ac:dyDescent="0.35">
      <c r="B69" s="45" t="s">
        <v>926</v>
      </c>
      <c r="C69" s="87" t="s">
        <v>511</v>
      </c>
      <c r="D69" s="100" t="s">
        <v>929</v>
      </c>
      <c r="E69" s="142">
        <v>242.09966777408638</v>
      </c>
    </row>
    <row r="70" spans="2:5" ht="16" thickBot="1" x14ac:dyDescent="0.4">
      <c r="B70" s="57" t="s">
        <v>891</v>
      </c>
      <c r="C70" s="90" t="s">
        <v>505</v>
      </c>
      <c r="D70" s="104" t="s">
        <v>892</v>
      </c>
      <c r="E70" s="143">
        <v>187.9111111111111</v>
      </c>
    </row>
    <row r="72" spans="2:5" ht="15" thickBot="1" x14ac:dyDescent="0.4"/>
    <row r="73" spans="2:5" x14ac:dyDescent="0.35">
      <c r="B73" s="110" t="s">
        <v>1101</v>
      </c>
      <c r="C73" s="111"/>
      <c r="D73" s="111"/>
      <c r="E73" s="112"/>
    </row>
    <row r="74" spans="2:5" ht="15" thickBot="1" x14ac:dyDescent="0.4">
      <c r="B74" s="113" t="s">
        <v>1098</v>
      </c>
      <c r="C74" s="77"/>
      <c r="D74" s="77"/>
      <c r="E74" s="114"/>
    </row>
    <row r="75" spans="2:5" x14ac:dyDescent="0.35">
      <c r="B75" s="115" t="s">
        <v>1071</v>
      </c>
      <c r="C75" s="116" t="s">
        <v>288</v>
      </c>
      <c r="D75" s="117" t="s">
        <v>852</v>
      </c>
      <c r="E75" s="144">
        <v>1647131</v>
      </c>
    </row>
    <row r="76" spans="2:5" x14ac:dyDescent="0.35">
      <c r="B76" s="118" t="s">
        <v>914</v>
      </c>
      <c r="C76" s="86" t="s">
        <v>749</v>
      </c>
      <c r="D76" s="24" t="s">
        <v>1086</v>
      </c>
      <c r="E76" s="145">
        <v>1642684</v>
      </c>
    </row>
    <row r="77" spans="2:5" x14ac:dyDescent="0.35">
      <c r="B77" s="118" t="s">
        <v>1072</v>
      </c>
      <c r="C77" s="86" t="s">
        <v>489</v>
      </c>
      <c r="D77" s="24" t="s">
        <v>743</v>
      </c>
      <c r="E77" s="146">
        <v>553690</v>
      </c>
    </row>
    <row r="78" spans="2:5" x14ac:dyDescent="0.35">
      <c r="B78" s="118" t="s">
        <v>873</v>
      </c>
      <c r="C78" s="86" t="s">
        <v>616</v>
      </c>
      <c r="D78" s="24" t="s">
        <v>875</v>
      </c>
      <c r="E78" s="146">
        <v>153201</v>
      </c>
    </row>
    <row r="79" spans="2:5" x14ac:dyDescent="0.35">
      <c r="B79" s="118" t="s">
        <v>1074</v>
      </c>
      <c r="C79" s="86" t="s">
        <v>615</v>
      </c>
      <c r="D79" s="24" t="s">
        <v>854</v>
      </c>
      <c r="E79" s="146">
        <v>118386</v>
      </c>
    </row>
    <row r="80" spans="2:5" x14ac:dyDescent="0.35">
      <c r="B80" s="118" t="s">
        <v>872</v>
      </c>
      <c r="C80" s="86" t="s">
        <v>586</v>
      </c>
      <c r="D80" s="24" t="s">
        <v>876</v>
      </c>
      <c r="E80" s="146">
        <v>110767</v>
      </c>
    </row>
    <row r="81" spans="2:5" x14ac:dyDescent="0.35">
      <c r="B81" s="118" t="s">
        <v>868</v>
      </c>
      <c r="C81" s="86" t="s">
        <v>246</v>
      </c>
      <c r="D81" s="24" t="s">
        <v>1088</v>
      </c>
      <c r="E81" s="146">
        <v>104410</v>
      </c>
    </row>
    <row r="82" spans="2:5" x14ac:dyDescent="0.35">
      <c r="B82" s="118" t="s">
        <v>1079</v>
      </c>
      <c r="C82" s="86" t="s">
        <v>109</v>
      </c>
      <c r="D82" s="24" t="s">
        <v>877</v>
      </c>
      <c r="E82" s="146">
        <v>84584</v>
      </c>
    </row>
    <row r="83" spans="2:5" x14ac:dyDescent="0.35">
      <c r="B83" s="118" t="s">
        <v>870</v>
      </c>
      <c r="C83" s="86" t="s">
        <v>519</v>
      </c>
      <c r="D83" s="24" t="s">
        <v>867</v>
      </c>
      <c r="E83" s="146">
        <v>72680</v>
      </c>
    </row>
    <row r="84" spans="2:5" ht="15" thickBot="1" x14ac:dyDescent="0.4">
      <c r="B84" s="119" t="s">
        <v>874</v>
      </c>
      <c r="C84" s="109" t="s">
        <v>107</v>
      </c>
      <c r="D84" s="120" t="s">
        <v>878</v>
      </c>
      <c r="E84" s="147">
        <v>65092</v>
      </c>
    </row>
    <row r="86" spans="2:5" ht="15" thickBot="1" x14ac:dyDescent="0.4"/>
    <row r="87" spans="2:5" x14ac:dyDescent="0.35">
      <c r="B87" s="110" t="s">
        <v>1102</v>
      </c>
      <c r="C87" s="111"/>
      <c r="D87" s="111"/>
      <c r="E87" s="112"/>
    </row>
    <row r="88" spans="2:5" ht="15" thickBot="1" x14ac:dyDescent="0.4">
      <c r="B88" s="113" t="s">
        <v>1099</v>
      </c>
      <c r="C88" s="77"/>
      <c r="D88" s="77"/>
      <c r="E88" s="114"/>
    </row>
    <row r="89" spans="2:5" x14ac:dyDescent="0.35">
      <c r="B89" s="115" t="s">
        <v>1071</v>
      </c>
      <c r="C89" s="116" t="s">
        <v>288</v>
      </c>
      <c r="D89" s="117" t="s">
        <v>915</v>
      </c>
      <c r="E89" s="144">
        <v>469463</v>
      </c>
    </row>
    <row r="90" spans="2:5" x14ac:dyDescent="0.35">
      <c r="B90" s="118" t="s">
        <v>870</v>
      </c>
      <c r="C90" s="86" t="s">
        <v>519</v>
      </c>
      <c r="D90" s="24" t="s">
        <v>916</v>
      </c>
      <c r="E90" s="146">
        <v>383720</v>
      </c>
    </row>
    <row r="91" spans="2:5" x14ac:dyDescent="0.35">
      <c r="B91" s="118" t="s">
        <v>914</v>
      </c>
      <c r="C91" s="86" t="s">
        <v>749</v>
      </c>
      <c r="D91" s="24" t="s">
        <v>917</v>
      </c>
      <c r="E91" s="145">
        <v>365055</v>
      </c>
    </row>
    <row r="92" spans="2:5" x14ac:dyDescent="0.35">
      <c r="B92" s="118" t="s">
        <v>879</v>
      </c>
      <c r="C92" s="86" t="s">
        <v>512</v>
      </c>
      <c r="D92" s="24" t="s">
        <v>918</v>
      </c>
      <c r="E92" s="146">
        <v>33917</v>
      </c>
    </row>
    <row r="93" spans="2:5" x14ac:dyDescent="0.35">
      <c r="B93" s="118" t="s">
        <v>925</v>
      </c>
      <c r="C93" s="86" t="s">
        <v>522</v>
      </c>
      <c r="D93" s="24" t="s">
        <v>919</v>
      </c>
      <c r="E93" s="145">
        <v>29482</v>
      </c>
    </row>
    <row r="94" spans="2:5" x14ac:dyDescent="0.35">
      <c r="B94" s="118" t="s">
        <v>926</v>
      </c>
      <c r="C94" s="86" t="s">
        <v>511</v>
      </c>
      <c r="D94" s="24" t="s">
        <v>920</v>
      </c>
      <c r="E94" s="145">
        <v>27001</v>
      </c>
    </row>
    <row r="95" spans="2:5" x14ac:dyDescent="0.35">
      <c r="B95" s="118" t="s">
        <v>927</v>
      </c>
      <c r="C95" s="86" t="s">
        <v>371</v>
      </c>
      <c r="D95" s="24" t="s">
        <v>921</v>
      </c>
      <c r="E95" s="145">
        <v>25654</v>
      </c>
    </row>
    <row r="96" spans="2:5" x14ac:dyDescent="0.35">
      <c r="B96" s="118" t="s">
        <v>1074</v>
      </c>
      <c r="C96" s="86" t="s">
        <v>615</v>
      </c>
      <c r="D96" s="24" t="s">
        <v>922</v>
      </c>
      <c r="E96" s="146">
        <v>24173</v>
      </c>
    </row>
    <row r="97" spans="2:5" x14ac:dyDescent="0.35">
      <c r="B97" s="118" t="s">
        <v>1075</v>
      </c>
      <c r="C97" s="86" t="s">
        <v>747</v>
      </c>
      <c r="D97" s="24" t="s">
        <v>923</v>
      </c>
      <c r="E97" s="146">
        <v>23494</v>
      </c>
    </row>
    <row r="98" spans="2:5" ht="15" thickBot="1" x14ac:dyDescent="0.4">
      <c r="B98" s="119" t="s">
        <v>1072</v>
      </c>
      <c r="C98" s="109" t="s">
        <v>489</v>
      </c>
      <c r="D98" s="120" t="s">
        <v>924</v>
      </c>
      <c r="E98" s="147">
        <v>22143</v>
      </c>
    </row>
    <row r="100" spans="2:5" ht="15" thickBot="1" x14ac:dyDescent="0.4"/>
    <row r="101" spans="2:5" x14ac:dyDescent="0.35">
      <c r="B101" s="110" t="s">
        <v>1101</v>
      </c>
      <c r="C101" s="111"/>
      <c r="D101" s="111"/>
      <c r="E101" s="112"/>
    </row>
    <row r="102" spans="2:5" ht="15" thickBot="1" x14ac:dyDescent="0.4">
      <c r="B102" s="113" t="s">
        <v>1103</v>
      </c>
      <c r="C102" s="77"/>
      <c r="D102" s="77"/>
      <c r="E102" s="114"/>
    </row>
    <row r="103" spans="2:5" x14ac:dyDescent="0.35">
      <c r="B103" s="115" t="s">
        <v>914</v>
      </c>
      <c r="C103" s="116" t="s">
        <v>749</v>
      </c>
      <c r="D103" s="117" t="s">
        <v>1086</v>
      </c>
      <c r="E103" s="152">
        <v>547.19653564290468</v>
      </c>
    </row>
    <row r="104" spans="2:5" x14ac:dyDescent="0.35">
      <c r="B104" s="118" t="s">
        <v>890</v>
      </c>
      <c r="C104" s="86" t="s">
        <v>750</v>
      </c>
      <c r="D104" s="24" t="s">
        <v>745</v>
      </c>
      <c r="E104" s="153">
        <v>462.69841269841271</v>
      </c>
    </row>
    <row r="105" spans="2:5" x14ac:dyDescent="0.35">
      <c r="B105" s="118" t="s">
        <v>930</v>
      </c>
      <c r="C105" s="86" t="s">
        <v>516</v>
      </c>
      <c r="D105" s="24" t="s">
        <v>928</v>
      </c>
      <c r="E105" s="153">
        <v>309.53333333333336</v>
      </c>
    </row>
    <row r="106" spans="2:5" x14ac:dyDescent="0.35">
      <c r="B106" s="118" t="s">
        <v>872</v>
      </c>
      <c r="C106" s="86" t="s">
        <v>586</v>
      </c>
      <c r="D106" s="24" t="s">
        <v>876</v>
      </c>
      <c r="E106" s="153">
        <v>302.64207650273227</v>
      </c>
    </row>
    <row r="107" spans="2:5" x14ac:dyDescent="0.35">
      <c r="B107" s="118" t="s">
        <v>1068</v>
      </c>
      <c r="C107" s="86" t="s">
        <v>502</v>
      </c>
      <c r="D107" s="24" t="s">
        <v>1085</v>
      </c>
      <c r="E107" s="153">
        <v>300.72413793103448</v>
      </c>
    </row>
    <row r="108" spans="2:5" x14ac:dyDescent="0.35">
      <c r="B108" s="118" t="s">
        <v>860</v>
      </c>
      <c r="C108" s="86" t="s">
        <v>288</v>
      </c>
      <c r="D108" s="24" t="s">
        <v>852</v>
      </c>
      <c r="E108" s="153">
        <v>260.21026856240127</v>
      </c>
    </row>
    <row r="109" spans="2:5" x14ac:dyDescent="0.35">
      <c r="B109" s="118" t="s">
        <v>871</v>
      </c>
      <c r="C109" s="86" t="s">
        <v>115</v>
      </c>
      <c r="D109" s="24" t="s">
        <v>1087</v>
      </c>
      <c r="E109" s="153">
        <v>235.89583333333334</v>
      </c>
    </row>
    <row r="110" spans="2:5" x14ac:dyDescent="0.35">
      <c r="B110" s="118" t="s">
        <v>891</v>
      </c>
      <c r="C110" s="86" t="s">
        <v>505</v>
      </c>
      <c r="D110" s="24" t="s">
        <v>892</v>
      </c>
      <c r="E110" s="153">
        <v>166.48888888888888</v>
      </c>
    </row>
    <row r="111" spans="2:5" x14ac:dyDescent="0.35">
      <c r="B111" s="118" t="s">
        <v>926</v>
      </c>
      <c r="C111" s="86" t="s">
        <v>511</v>
      </c>
      <c r="D111" s="24" t="s">
        <v>929</v>
      </c>
      <c r="E111" s="153">
        <v>142.4717607973422</v>
      </c>
    </row>
    <row r="112" spans="2:5" ht="15" thickBot="1" x14ac:dyDescent="0.4">
      <c r="B112" s="119" t="s">
        <v>1108</v>
      </c>
      <c r="C112" s="109" t="s">
        <v>338</v>
      </c>
      <c r="D112" s="120" t="s">
        <v>1115</v>
      </c>
      <c r="E112" s="154">
        <v>136.69256756756758</v>
      </c>
    </row>
    <row r="114" spans="2:5" ht="15" thickBot="1" x14ac:dyDescent="0.4"/>
    <row r="115" spans="2:5" x14ac:dyDescent="0.35">
      <c r="B115" s="110" t="s">
        <v>1102</v>
      </c>
      <c r="C115" s="111"/>
      <c r="D115" s="111"/>
      <c r="E115" s="112"/>
    </row>
    <row r="116" spans="2:5" ht="15" thickBot="1" x14ac:dyDescent="0.4">
      <c r="B116" s="113" t="s">
        <v>1104</v>
      </c>
      <c r="C116" s="77"/>
      <c r="D116" s="77"/>
      <c r="E116" s="114"/>
    </row>
    <row r="117" spans="2:5" x14ac:dyDescent="0.35">
      <c r="B117" s="115" t="s">
        <v>870</v>
      </c>
      <c r="C117" s="116" t="s">
        <v>519</v>
      </c>
      <c r="D117" s="117" t="s">
        <v>867</v>
      </c>
      <c r="E117" s="152">
        <v>289.81873111782477</v>
      </c>
    </row>
    <row r="118" spans="2:5" x14ac:dyDescent="0.35">
      <c r="B118" s="118" t="s">
        <v>1105</v>
      </c>
      <c r="C118" s="86" t="s">
        <v>601</v>
      </c>
      <c r="D118" s="24" t="s">
        <v>1109</v>
      </c>
      <c r="E118" s="153">
        <v>129.90243902439025</v>
      </c>
    </row>
    <row r="119" spans="2:5" x14ac:dyDescent="0.35">
      <c r="B119" s="118" t="s">
        <v>914</v>
      </c>
      <c r="C119" s="86" t="s">
        <v>749</v>
      </c>
      <c r="D119" s="24" t="s">
        <v>1086</v>
      </c>
      <c r="E119" s="153">
        <v>121.6039307128581</v>
      </c>
    </row>
    <row r="120" spans="2:5" x14ac:dyDescent="0.35">
      <c r="B120" s="118" t="s">
        <v>1068</v>
      </c>
      <c r="C120" s="86" t="s">
        <v>502</v>
      </c>
      <c r="D120" s="24" t="s">
        <v>1085</v>
      </c>
      <c r="E120" s="153">
        <v>110.63218390804597</v>
      </c>
    </row>
    <row r="121" spans="2:5" x14ac:dyDescent="0.35">
      <c r="B121" s="118" t="s">
        <v>926</v>
      </c>
      <c r="C121" s="155" t="s">
        <v>1114</v>
      </c>
      <c r="D121" s="24" t="s">
        <v>929</v>
      </c>
      <c r="E121" s="153">
        <v>89.704318936877073</v>
      </c>
    </row>
    <row r="122" spans="2:5" x14ac:dyDescent="0.35">
      <c r="B122" s="118" t="s">
        <v>879</v>
      </c>
      <c r="C122" s="155" t="s">
        <v>1113</v>
      </c>
      <c r="D122" s="24" t="s">
        <v>881</v>
      </c>
      <c r="E122" s="153">
        <v>76.735294117647058</v>
      </c>
    </row>
    <row r="123" spans="2:5" x14ac:dyDescent="0.35">
      <c r="B123" s="118" t="s">
        <v>860</v>
      </c>
      <c r="C123" s="86" t="s">
        <v>288</v>
      </c>
      <c r="D123" s="24" t="s">
        <v>1092</v>
      </c>
      <c r="E123" s="153">
        <v>74.164770932069516</v>
      </c>
    </row>
    <row r="124" spans="2:5" x14ac:dyDescent="0.35">
      <c r="B124" s="118" t="s">
        <v>890</v>
      </c>
      <c r="C124" s="86" t="s">
        <v>750</v>
      </c>
      <c r="D124" s="24" t="s">
        <v>745</v>
      </c>
      <c r="E124" s="153">
        <v>73.476190476190482</v>
      </c>
    </row>
    <row r="125" spans="2:5" x14ac:dyDescent="0.35">
      <c r="B125" s="118" t="s">
        <v>1106</v>
      </c>
      <c r="C125" s="86" t="s">
        <v>525</v>
      </c>
      <c r="D125" s="24" t="s">
        <v>1110</v>
      </c>
      <c r="E125" s="153">
        <v>60.596837944664031</v>
      </c>
    </row>
    <row r="126" spans="2:5" ht="15" thickBot="1" x14ac:dyDescent="0.4">
      <c r="B126" s="119" t="s">
        <v>1107</v>
      </c>
      <c r="C126" s="156" t="s">
        <v>1112</v>
      </c>
      <c r="D126" s="120" t="s">
        <v>1111</v>
      </c>
      <c r="E126" s="154">
        <v>44.111111111111114</v>
      </c>
    </row>
    <row r="128" spans="2:5" ht="15" thickBot="1" x14ac:dyDescent="0.4"/>
    <row r="129" spans="2:5" x14ac:dyDescent="0.35">
      <c r="B129" s="110" t="s">
        <v>883</v>
      </c>
      <c r="C129" s="111"/>
      <c r="D129" s="111"/>
      <c r="E129" s="112"/>
    </row>
    <row r="130" spans="2:5" ht="15" thickBot="1" x14ac:dyDescent="0.4">
      <c r="B130" s="113" t="s">
        <v>1100</v>
      </c>
      <c r="C130" s="77"/>
      <c r="D130" s="77"/>
      <c r="E130" s="114"/>
    </row>
    <row r="131" spans="2:5" x14ac:dyDescent="0.35">
      <c r="B131" s="115" t="s">
        <v>1071</v>
      </c>
      <c r="C131" s="116" t="s">
        <v>288</v>
      </c>
      <c r="D131" s="117" t="s">
        <v>852</v>
      </c>
      <c r="E131" s="144">
        <v>1571818</v>
      </c>
    </row>
    <row r="132" spans="2:5" x14ac:dyDescent="0.35">
      <c r="B132" s="118" t="s">
        <v>914</v>
      </c>
      <c r="C132" s="86" t="s">
        <v>749</v>
      </c>
      <c r="D132" s="24" t="s">
        <v>917</v>
      </c>
      <c r="E132" s="145">
        <v>244900</v>
      </c>
    </row>
    <row r="133" spans="2:5" x14ac:dyDescent="0.35">
      <c r="B133" s="118" t="s">
        <v>873</v>
      </c>
      <c r="C133" s="86" t="s">
        <v>616</v>
      </c>
      <c r="D133" s="24" t="s">
        <v>875</v>
      </c>
      <c r="E133" s="146">
        <v>49880</v>
      </c>
    </row>
    <row r="134" spans="2:5" x14ac:dyDescent="0.35">
      <c r="B134" s="118" t="s">
        <v>858</v>
      </c>
      <c r="C134" s="86" t="s">
        <v>387</v>
      </c>
      <c r="D134" s="24" t="s">
        <v>850</v>
      </c>
      <c r="E134" s="146">
        <v>34724</v>
      </c>
    </row>
    <row r="135" spans="2:5" x14ac:dyDescent="0.35">
      <c r="B135" s="118" t="s">
        <v>1072</v>
      </c>
      <c r="C135" s="86" t="s">
        <v>489</v>
      </c>
      <c r="D135" s="24" t="s">
        <v>743</v>
      </c>
      <c r="E135" s="146">
        <v>32173</v>
      </c>
    </row>
    <row r="136" spans="2:5" x14ac:dyDescent="0.35">
      <c r="B136" s="118" t="s">
        <v>1074</v>
      </c>
      <c r="C136" s="86" t="s">
        <v>615</v>
      </c>
      <c r="D136" s="24" t="s">
        <v>854</v>
      </c>
      <c r="E136" s="146">
        <v>26032</v>
      </c>
    </row>
    <row r="137" spans="2:5" x14ac:dyDescent="0.35">
      <c r="B137" s="118" t="s">
        <v>879</v>
      </c>
      <c r="C137" s="86" t="s">
        <v>512</v>
      </c>
      <c r="D137" s="24" t="s">
        <v>881</v>
      </c>
      <c r="E137" s="146">
        <v>25280</v>
      </c>
    </row>
    <row r="138" spans="2:5" x14ac:dyDescent="0.35">
      <c r="B138" s="118" t="s">
        <v>1079</v>
      </c>
      <c r="C138" s="86" t="s">
        <v>109</v>
      </c>
      <c r="D138" s="24" t="s">
        <v>877</v>
      </c>
      <c r="E138" s="146">
        <v>24057</v>
      </c>
    </row>
    <row r="139" spans="2:5" x14ac:dyDescent="0.35">
      <c r="B139" s="118" t="s">
        <v>880</v>
      </c>
      <c r="C139" s="86" t="s">
        <v>193</v>
      </c>
      <c r="D139" s="24" t="s">
        <v>882</v>
      </c>
      <c r="E139" s="146">
        <v>14109</v>
      </c>
    </row>
    <row r="140" spans="2:5" ht="15" thickBot="1" x14ac:dyDescent="0.4">
      <c r="B140" s="119" t="s">
        <v>869</v>
      </c>
      <c r="C140" s="109" t="s">
        <v>182</v>
      </c>
      <c r="D140" s="120" t="s">
        <v>865</v>
      </c>
      <c r="E140" s="147">
        <v>12995</v>
      </c>
    </row>
    <row r="142" spans="2:5" ht="15" thickBot="1" x14ac:dyDescent="0.4"/>
    <row r="143" spans="2:5" x14ac:dyDescent="0.35">
      <c r="B143" s="110" t="s">
        <v>886</v>
      </c>
      <c r="C143" s="111"/>
      <c r="D143" s="111"/>
      <c r="E143" s="112"/>
    </row>
    <row r="144" spans="2:5" ht="15" thickBot="1" x14ac:dyDescent="0.4">
      <c r="B144" s="113" t="s">
        <v>885</v>
      </c>
      <c r="C144" s="77"/>
      <c r="D144" s="77"/>
      <c r="E144" s="114"/>
    </row>
    <row r="145" spans="2:5" x14ac:dyDescent="0.35">
      <c r="B145" s="115" t="s">
        <v>1071</v>
      </c>
      <c r="C145" s="116" t="s">
        <v>288</v>
      </c>
      <c r="D145" s="117" t="s">
        <v>852</v>
      </c>
      <c r="E145" s="144">
        <v>3688412</v>
      </c>
    </row>
    <row r="146" spans="2:5" x14ac:dyDescent="0.35">
      <c r="B146" s="118" t="s">
        <v>914</v>
      </c>
      <c r="C146" s="86" t="s">
        <v>749</v>
      </c>
      <c r="D146" s="24" t="s">
        <v>917</v>
      </c>
      <c r="E146" s="148">
        <v>2252639</v>
      </c>
    </row>
    <row r="147" spans="2:5" x14ac:dyDescent="0.35">
      <c r="B147" s="118" t="s">
        <v>1072</v>
      </c>
      <c r="C147" s="86" t="s">
        <v>489</v>
      </c>
      <c r="D147" s="24" t="s">
        <v>743</v>
      </c>
      <c r="E147" s="146">
        <v>608006</v>
      </c>
    </row>
    <row r="148" spans="2:5" x14ac:dyDescent="0.35">
      <c r="B148" s="118" t="s">
        <v>870</v>
      </c>
      <c r="C148" s="86" t="s">
        <v>519</v>
      </c>
      <c r="D148" s="24" t="s">
        <v>867</v>
      </c>
      <c r="E148" s="146">
        <v>459353</v>
      </c>
    </row>
    <row r="149" spans="2:5" x14ac:dyDescent="0.35">
      <c r="B149" s="118" t="s">
        <v>873</v>
      </c>
      <c r="C149" s="86" t="s">
        <v>616</v>
      </c>
      <c r="D149" s="24" t="s">
        <v>875</v>
      </c>
      <c r="E149" s="146">
        <v>210997</v>
      </c>
    </row>
    <row r="150" spans="2:5" x14ac:dyDescent="0.35">
      <c r="B150" s="118" t="s">
        <v>1074</v>
      </c>
      <c r="C150" s="86" t="s">
        <v>615</v>
      </c>
      <c r="D150" s="24" t="s">
        <v>854</v>
      </c>
      <c r="E150" s="146">
        <v>168591</v>
      </c>
    </row>
    <row r="151" spans="2:5" x14ac:dyDescent="0.35">
      <c r="B151" s="118" t="s">
        <v>1079</v>
      </c>
      <c r="C151" s="86" t="s">
        <v>109</v>
      </c>
      <c r="D151" s="24" t="s">
        <v>877</v>
      </c>
      <c r="E151" s="146">
        <v>130089</v>
      </c>
    </row>
    <row r="152" spans="2:5" x14ac:dyDescent="0.35">
      <c r="B152" s="118" t="s">
        <v>868</v>
      </c>
      <c r="C152" s="86" t="s">
        <v>246</v>
      </c>
      <c r="D152" s="24" t="s">
        <v>1088</v>
      </c>
      <c r="E152" s="146">
        <v>118884</v>
      </c>
    </row>
    <row r="153" spans="2:5" x14ac:dyDescent="0.35">
      <c r="B153" s="118" t="s">
        <v>872</v>
      </c>
      <c r="C153" s="86" t="s">
        <v>586</v>
      </c>
      <c r="D153" s="24" t="s">
        <v>876</v>
      </c>
      <c r="E153" s="146">
        <v>114006</v>
      </c>
    </row>
    <row r="154" spans="2:5" x14ac:dyDescent="0.35">
      <c r="B154" s="118" t="s">
        <v>859</v>
      </c>
      <c r="C154" s="86" t="s">
        <v>289</v>
      </c>
      <c r="D154" s="24" t="s">
        <v>851</v>
      </c>
      <c r="E154" s="146">
        <v>91078</v>
      </c>
    </row>
    <row r="156" spans="2:5" ht="15" thickBot="1" x14ac:dyDescent="0.4"/>
    <row r="157" spans="2:5" x14ac:dyDescent="0.35">
      <c r="B157" s="110" t="s">
        <v>888</v>
      </c>
      <c r="C157" s="111"/>
      <c r="D157" s="111"/>
      <c r="E157" s="112"/>
    </row>
    <row r="158" spans="2:5" ht="15" thickBot="1" x14ac:dyDescent="0.4">
      <c r="B158" s="113" t="s">
        <v>889</v>
      </c>
      <c r="C158" s="77"/>
      <c r="D158" s="77"/>
      <c r="E158" s="114"/>
    </row>
    <row r="159" spans="2:5" x14ac:dyDescent="0.35">
      <c r="B159" s="115" t="s">
        <v>893</v>
      </c>
      <c r="C159" s="116" t="s">
        <v>552</v>
      </c>
      <c r="D159" s="117" t="s">
        <v>902</v>
      </c>
      <c r="E159" s="121">
        <v>5</v>
      </c>
    </row>
    <row r="160" spans="2:5" x14ac:dyDescent="0.35">
      <c r="B160" s="118" t="s">
        <v>894</v>
      </c>
      <c r="C160" s="86" t="s">
        <v>838</v>
      </c>
      <c r="D160" s="24" t="s">
        <v>903</v>
      </c>
      <c r="E160" s="122">
        <v>2.75</v>
      </c>
    </row>
    <row r="161" spans="2:5" x14ac:dyDescent="0.35">
      <c r="B161" s="118" t="s">
        <v>901</v>
      </c>
      <c r="C161" s="86" t="s">
        <v>506</v>
      </c>
      <c r="D161" s="24" t="s">
        <v>904</v>
      </c>
      <c r="E161" s="122">
        <v>1.989060489060489</v>
      </c>
    </row>
    <row r="162" spans="2:5" x14ac:dyDescent="0.35">
      <c r="B162" s="118" t="s">
        <v>895</v>
      </c>
      <c r="C162" s="86" t="s">
        <v>563</v>
      </c>
      <c r="D162" s="24" t="s">
        <v>905</v>
      </c>
      <c r="E162" s="122">
        <v>1.5</v>
      </c>
    </row>
    <row r="163" spans="2:5" x14ac:dyDescent="0.35">
      <c r="B163" s="118" t="s">
        <v>874</v>
      </c>
      <c r="C163" s="86" t="s">
        <v>107</v>
      </c>
      <c r="D163" s="24" t="s">
        <v>878</v>
      </c>
      <c r="E163" s="122">
        <v>1.3238619150123574</v>
      </c>
    </row>
    <row r="164" spans="2:5" x14ac:dyDescent="0.35">
      <c r="B164" s="118" t="s">
        <v>896</v>
      </c>
      <c r="C164" s="86" t="s">
        <v>587</v>
      </c>
      <c r="D164" s="24" t="s">
        <v>906</v>
      </c>
      <c r="E164" s="122">
        <v>1</v>
      </c>
    </row>
    <row r="165" spans="2:5" x14ac:dyDescent="0.35">
      <c r="B165" s="118" t="s">
        <v>897</v>
      </c>
      <c r="C165" s="86" t="s">
        <v>842</v>
      </c>
      <c r="D165" s="24" t="s">
        <v>851</v>
      </c>
      <c r="E165" s="122">
        <v>0.83258003766478339</v>
      </c>
    </row>
    <row r="166" spans="2:5" x14ac:dyDescent="0.35">
      <c r="B166" s="118" t="s">
        <v>898</v>
      </c>
      <c r="C166" s="86" t="s">
        <v>605</v>
      </c>
      <c r="D166" s="24" t="s">
        <v>907</v>
      </c>
      <c r="E166" s="122">
        <v>0.68421052631578949</v>
      </c>
    </row>
    <row r="167" spans="2:5" x14ac:dyDescent="0.35">
      <c r="B167" s="118" t="s">
        <v>899</v>
      </c>
      <c r="C167" s="86" t="s">
        <v>596</v>
      </c>
      <c r="D167" s="24" t="s">
        <v>908</v>
      </c>
      <c r="E167" s="122">
        <v>0.66666666666666663</v>
      </c>
    </row>
    <row r="168" spans="2:5" ht="15" thickBot="1" x14ac:dyDescent="0.4">
      <c r="B168" s="119" t="s">
        <v>900</v>
      </c>
      <c r="C168" s="109" t="s">
        <v>816</v>
      </c>
      <c r="D168" s="120" t="s">
        <v>909</v>
      </c>
      <c r="E168" s="123">
        <v>0.6333333333333333</v>
      </c>
    </row>
    <row r="171" spans="2:5" ht="15" thickBot="1" x14ac:dyDescent="0.4">
      <c r="B171" s="82" t="s">
        <v>742</v>
      </c>
      <c r="C171" s="82"/>
      <c r="D171" s="82"/>
      <c r="E171" s="82"/>
    </row>
    <row r="172" spans="2:5" x14ac:dyDescent="0.35">
      <c r="B172" s="25" t="s">
        <v>288</v>
      </c>
      <c r="C172" s="25" t="s">
        <v>288</v>
      </c>
      <c r="D172" s="79" t="s">
        <v>744</v>
      </c>
      <c r="E172" s="78">
        <v>3160484</v>
      </c>
    </row>
    <row r="173" spans="2:5" x14ac:dyDescent="0.35">
      <c r="B173" s="25" t="s">
        <v>489</v>
      </c>
      <c r="C173" s="25" t="s">
        <v>489</v>
      </c>
      <c r="D173" s="79" t="s">
        <v>743</v>
      </c>
      <c r="E173" s="80">
        <v>3052357</v>
      </c>
    </row>
    <row r="174" spans="2:5" x14ac:dyDescent="0.35">
      <c r="B174" s="24" t="s">
        <v>182</v>
      </c>
      <c r="C174" s="24" t="s">
        <v>182</v>
      </c>
      <c r="D174" s="83" t="s">
        <v>751</v>
      </c>
      <c r="E174" s="80">
        <v>1624055</v>
      </c>
    </row>
    <row r="175" spans="2:5" x14ac:dyDescent="0.35">
      <c r="B175" s="25" t="s">
        <v>99</v>
      </c>
      <c r="C175" s="25" t="s">
        <v>99</v>
      </c>
      <c r="D175" s="79" t="s">
        <v>752</v>
      </c>
      <c r="E175" s="80">
        <v>801169</v>
      </c>
    </row>
    <row r="176" spans="2:5" ht="15.5" x14ac:dyDescent="0.35">
      <c r="B176" s="25" t="s">
        <v>311</v>
      </c>
      <c r="C176" s="25" t="s">
        <v>311</v>
      </c>
      <c r="D176" s="1" t="s">
        <v>753</v>
      </c>
      <c r="E176" s="80">
        <v>561013</v>
      </c>
    </row>
    <row r="177" spans="2:5" ht="15.5" x14ac:dyDescent="0.35">
      <c r="B177" s="25" t="s">
        <v>289</v>
      </c>
      <c r="C177" s="25" t="s">
        <v>289</v>
      </c>
      <c r="D177" s="1" t="s">
        <v>754</v>
      </c>
      <c r="E177" s="81">
        <v>407003</v>
      </c>
    </row>
    <row r="178" spans="2:5" x14ac:dyDescent="0.35">
      <c r="B178" s="25" t="s">
        <v>246</v>
      </c>
      <c r="C178" s="25" t="s">
        <v>246</v>
      </c>
      <c r="D178" s="79" t="s">
        <v>746</v>
      </c>
      <c r="E178" s="81">
        <v>284261</v>
      </c>
    </row>
    <row r="179" spans="2:5" x14ac:dyDescent="0.35">
      <c r="B179" s="25" t="s">
        <v>524</v>
      </c>
      <c r="C179" s="25" t="s">
        <v>524</v>
      </c>
      <c r="D179" s="79" t="s">
        <v>755</v>
      </c>
      <c r="E179" s="81">
        <v>282284</v>
      </c>
    </row>
    <row r="180" spans="2:5" ht="15.5" x14ac:dyDescent="0.35">
      <c r="B180" s="25" t="s">
        <v>756</v>
      </c>
      <c r="C180" s="25" t="s">
        <v>622</v>
      </c>
      <c r="D180" s="1" t="s">
        <v>757</v>
      </c>
      <c r="E180" s="81">
        <v>262924</v>
      </c>
    </row>
    <row r="181" spans="2:5" ht="29" x14ac:dyDescent="0.35">
      <c r="B181" s="25" t="s">
        <v>613</v>
      </c>
      <c r="C181" s="79" t="s">
        <v>759</v>
      </c>
      <c r="D181" s="79" t="s">
        <v>758</v>
      </c>
      <c r="E181" s="81">
        <v>253659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74"/>
  <sheetViews>
    <sheetView topLeftCell="A28" workbookViewId="0">
      <selection activeCell="L44" sqref="L44"/>
    </sheetView>
  </sheetViews>
  <sheetFormatPr defaultRowHeight="14.5" x14ac:dyDescent="0.35"/>
  <cols>
    <col min="1" max="2" width="14.54296875" customWidth="1"/>
    <col min="3" max="3" width="27.453125" customWidth="1"/>
    <col min="4" max="4" width="30.26953125" customWidth="1"/>
    <col min="5" max="5" width="32.7265625" customWidth="1"/>
  </cols>
  <sheetData>
    <row r="2" spans="2:5" x14ac:dyDescent="0.35">
      <c r="B2" s="241" t="s">
        <v>1155</v>
      </c>
      <c r="C2" s="92"/>
      <c r="D2" s="92"/>
      <c r="E2" s="92"/>
    </row>
    <row r="3" spans="2:5" x14ac:dyDescent="0.35">
      <c r="B3" s="242" t="s">
        <v>1070</v>
      </c>
      <c r="C3" s="92"/>
      <c r="D3" s="92"/>
      <c r="E3" s="92"/>
    </row>
    <row r="4" spans="2:5" x14ac:dyDescent="0.35">
      <c r="B4" s="92" t="s">
        <v>1071</v>
      </c>
      <c r="C4" s="92" t="s">
        <v>288</v>
      </c>
      <c r="D4" s="243" t="s">
        <v>1092</v>
      </c>
      <c r="E4" s="192">
        <v>682790</v>
      </c>
    </row>
    <row r="5" spans="2:5" x14ac:dyDescent="0.35">
      <c r="B5" s="92" t="s">
        <v>914</v>
      </c>
      <c r="C5" s="92" t="s">
        <v>1156</v>
      </c>
      <c r="D5" s="243" t="s">
        <v>1086</v>
      </c>
      <c r="E5" s="195">
        <v>532192</v>
      </c>
    </row>
    <row r="6" spans="2:5" x14ac:dyDescent="0.35">
      <c r="B6" s="92" t="s">
        <v>1072</v>
      </c>
      <c r="C6" s="92" t="s">
        <v>489</v>
      </c>
      <c r="D6" s="92" t="s">
        <v>743</v>
      </c>
      <c r="E6" s="108">
        <v>315348</v>
      </c>
    </row>
    <row r="7" spans="2:5" x14ac:dyDescent="0.35">
      <c r="B7" s="92" t="s">
        <v>868</v>
      </c>
      <c r="C7" s="92" t="s">
        <v>246</v>
      </c>
      <c r="D7" s="92" t="s">
        <v>1157</v>
      </c>
      <c r="E7" s="108">
        <v>149030</v>
      </c>
    </row>
    <row r="8" spans="2:5" x14ac:dyDescent="0.35">
      <c r="B8" s="92" t="s">
        <v>1073</v>
      </c>
      <c r="C8" s="92" t="s">
        <v>249</v>
      </c>
      <c r="D8" s="92" t="s">
        <v>249</v>
      </c>
      <c r="E8" s="108">
        <v>141120</v>
      </c>
    </row>
    <row r="9" spans="2:5" x14ac:dyDescent="0.35">
      <c r="B9" s="92" t="s">
        <v>1074</v>
      </c>
      <c r="C9" s="92" t="s">
        <v>1158</v>
      </c>
      <c r="D9" s="92" t="s">
        <v>1159</v>
      </c>
      <c r="E9" s="108">
        <v>88255</v>
      </c>
    </row>
    <row r="10" spans="2:5" x14ac:dyDescent="0.35">
      <c r="B10" s="92" t="s">
        <v>1075</v>
      </c>
      <c r="C10" s="92" t="s">
        <v>747</v>
      </c>
      <c r="D10" s="92" t="s">
        <v>748</v>
      </c>
      <c r="E10" s="108">
        <v>79270</v>
      </c>
    </row>
    <row r="11" spans="2:5" x14ac:dyDescent="0.35">
      <c r="B11" s="92" t="s">
        <v>890</v>
      </c>
      <c r="C11" s="92" t="s">
        <v>741</v>
      </c>
      <c r="D11" s="92" t="s">
        <v>745</v>
      </c>
      <c r="E11" s="108">
        <v>58032</v>
      </c>
    </row>
    <row r="12" spans="2:5" x14ac:dyDescent="0.35">
      <c r="B12" s="268" t="s">
        <v>1194</v>
      </c>
      <c r="C12" s="92" t="s">
        <v>1153</v>
      </c>
      <c r="D12" s="92" t="s">
        <v>743</v>
      </c>
      <c r="E12" s="108">
        <v>57135</v>
      </c>
    </row>
    <row r="13" spans="2:5" x14ac:dyDescent="0.35">
      <c r="B13" s="92" t="s">
        <v>871</v>
      </c>
      <c r="C13" s="92" t="s">
        <v>114</v>
      </c>
      <c r="D13" s="92" t="s">
        <v>112</v>
      </c>
      <c r="E13" s="108">
        <v>43431</v>
      </c>
    </row>
    <row r="14" spans="2:5" x14ac:dyDescent="0.35">
      <c r="B14" s="224"/>
      <c r="C14" s="224"/>
      <c r="D14" s="224"/>
      <c r="E14" s="244"/>
    </row>
    <row r="16" spans="2:5" x14ac:dyDescent="0.35">
      <c r="B16" s="241" t="s">
        <v>1160</v>
      </c>
      <c r="C16" s="92"/>
      <c r="D16" s="92"/>
      <c r="E16" s="108"/>
    </row>
    <row r="17" spans="2:5" x14ac:dyDescent="0.35">
      <c r="B17" s="242" t="s">
        <v>1161</v>
      </c>
      <c r="C17" s="92"/>
      <c r="D17" s="92"/>
      <c r="E17" s="108"/>
    </row>
    <row r="18" spans="2:5" x14ac:dyDescent="0.35">
      <c r="B18" s="92" t="s">
        <v>914</v>
      </c>
      <c r="C18" s="92" t="s">
        <v>1156</v>
      </c>
      <c r="D18" s="243" t="s">
        <v>1086</v>
      </c>
      <c r="E18" s="192">
        <v>300397770</v>
      </c>
    </row>
    <row r="19" spans="2:5" x14ac:dyDescent="0.35">
      <c r="B19" s="92" t="s">
        <v>1071</v>
      </c>
      <c r="C19" s="92" t="s">
        <v>288</v>
      </c>
      <c r="D19" s="243" t="s">
        <v>1092</v>
      </c>
      <c r="E19" s="195">
        <v>249075458</v>
      </c>
    </row>
    <row r="20" spans="2:5" x14ac:dyDescent="0.35">
      <c r="B20" s="92" t="s">
        <v>1074</v>
      </c>
      <c r="C20" s="92" t="s">
        <v>1158</v>
      </c>
      <c r="D20" s="92" t="s">
        <v>1159</v>
      </c>
      <c r="E20" s="108">
        <v>71821380</v>
      </c>
    </row>
    <row r="21" spans="2:5" x14ac:dyDescent="0.35">
      <c r="B21" s="92" t="s">
        <v>1075</v>
      </c>
      <c r="C21" s="92" t="s">
        <v>747</v>
      </c>
      <c r="D21" s="92" t="s">
        <v>748</v>
      </c>
      <c r="E21" s="108">
        <v>68329120</v>
      </c>
    </row>
    <row r="22" spans="2:5" x14ac:dyDescent="0.35">
      <c r="B22" s="92" t="s">
        <v>868</v>
      </c>
      <c r="C22" s="92" t="s">
        <v>246</v>
      </c>
      <c r="D22" s="92" t="s">
        <v>1157</v>
      </c>
      <c r="E22" s="108">
        <v>54231140</v>
      </c>
    </row>
    <row r="23" spans="2:5" x14ac:dyDescent="0.35">
      <c r="B23" s="92" t="s">
        <v>1072</v>
      </c>
      <c r="C23" s="92" t="s">
        <v>489</v>
      </c>
      <c r="D23" s="92" t="s">
        <v>743</v>
      </c>
      <c r="E23" s="108">
        <v>46755593</v>
      </c>
    </row>
    <row r="24" spans="2:5" x14ac:dyDescent="0.35">
      <c r="B24" s="92" t="s">
        <v>1073</v>
      </c>
      <c r="C24" s="92" t="s">
        <v>249</v>
      </c>
      <c r="D24" s="92" t="s">
        <v>864</v>
      </c>
      <c r="E24" s="108">
        <v>29675911</v>
      </c>
    </row>
    <row r="25" spans="2:5" x14ac:dyDescent="0.35">
      <c r="B25" s="92" t="s">
        <v>1162</v>
      </c>
      <c r="C25" s="92" t="s">
        <v>182</v>
      </c>
      <c r="D25" s="92"/>
      <c r="E25" s="108">
        <v>25091698</v>
      </c>
    </row>
    <row r="26" spans="2:5" x14ac:dyDescent="0.35">
      <c r="B26" s="92" t="s">
        <v>1163</v>
      </c>
      <c r="C26" s="92" t="s">
        <v>1164</v>
      </c>
      <c r="D26" s="92" t="s">
        <v>866</v>
      </c>
      <c r="E26" s="108">
        <v>24217595</v>
      </c>
    </row>
    <row r="27" spans="2:5" x14ac:dyDescent="0.35">
      <c r="B27" s="92" t="s">
        <v>870</v>
      </c>
      <c r="C27" s="92" t="s">
        <v>519</v>
      </c>
      <c r="D27" s="92" t="s">
        <v>867</v>
      </c>
      <c r="E27" s="108">
        <v>19894061</v>
      </c>
    </row>
    <row r="28" spans="2:5" x14ac:dyDescent="0.35">
      <c r="B28" s="224"/>
      <c r="C28" s="224"/>
      <c r="D28" s="224"/>
      <c r="E28" s="244"/>
    </row>
    <row r="29" spans="2:5" x14ac:dyDescent="0.35">
      <c r="B29" s="224"/>
      <c r="C29" s="224"/>
      <c r="D29" s="224"/>
      <c r="E29" s="244"/>
    </row>
    <row r="30" spans="2:5" x14ac:dyDescent="0.35">
      <c r="B30" s="241" t="s">
        <v>1165</v>
      </c>
      <c r="C30" s="92"/>
      <c r="D30" s="92"/>
      <c r="E30" s="108"/>
    </row>
    <row r="31" spans="2:5" x14ac:dyDescent="0.35">
      <c r="B31" s="242" t="s">
        <v>1166</v>
      </c>
      <c r="C31" s="92"/>
      <c r="D31" s="92"/>
      <c r="E31" s="108"/>
    </row>
    <row r="32" spans="2:5" x14ac:dyDescent="0.35">
      <c r="B32" s="92" t="s">
        <v>1071</v>
      </c>
      <c r="C32" s="92" t="s">
        <v>288</v>
      </c>
      <c r="D32" s="243" t="s">
        <v>1092</v>
      </c>
      <c r="E32" s="192">
        <v>3688412</v>
      </c>
    </row>
    <row r="33" spans="2:5" x14ac:dyDescent="0.35">
      <c r="B33" s="92" t="s">
        <v>914</v>
      </c>
      <c r="C33" s="92" t="s">
        <v>1156</v>
      </c>
      <c r="D33" s="243" t="s">
        <v>1086</v>
      </c>
      <c r="E33" s="195">
        <v>2252639</v>
      </c>
    </row>
    <row r="34" spans="2:5" x14ac:dyDescent="0.35">
      <c r="B34" s="92" t="s">
        <v>1072</v>
      </c>
      <c r="C34" s="92" t="s">
        <v>489</v>
      </c>
      <c r="D34" s="92" t="s">
        <v>743</v>
      </c>
      <c r="E34" s="108">
        <v>608006</v>
      </c>
    </row>
    <row r="35" spans="2:5" x14ac:dyDescent="0.35">
      <c r="B35" s="92" t="s">
        <v>870</v>
      </c>
      <c r="C35" s="92" t="s">
        <v>519</v>
      </c>
      <c r="D35" s="92" t="s">
        <v>867</v>
      </c>
      <c r="E35" s="108">
        <v>459353</v>
      </c>
    </row>
    <row r="36" spans="2:5" x14ac:dyDescent="0.35">
      <c r="B36" s="92" t="s">
        <v>1167</v>
      </c>
      <c r="C36" s="92" t="s">
        <v>1180</v>
      </c>
      <c r="D36" s="92" t="s">
        <v>875</v>
      </c>
      <c r="E36" s="108">
        <v>210997</v>
      </c>
    </row>
    <row r="37" spans="2:5" x14ac:dyDescent="0.35">
      <c r="B37" s="92" t="s">
        <v>1074</v>
      </c>
      <c r="C37" s="92" t="s">
        <v>1168</v>
      </c>
      <c r="D37" s="92" t="s">
        <v>1159</v>
      </c>
      <c r="E37" s="108">
        <v>168591</v>
      </c>
    </row>
    <row r="38" spans="2:5" x14ac:dyDescent="0.35">
      <c r="B38" s="92" t="s">
        <v>1169</v>
      </c>
      <c r="C38" s="92" t="s">
        <v>1170</v>
      </c>
      <c r="D38" s="92" t="s">
        <v>1171</v>
      </c>
      <c r="E38" s="108">
        <v>130089</v>
      </c>
    </row>
    <row r="39" spans="2:5" x14ac:dyDescent="0.35">
      <c r="B39" s="92" t="s">
        <v>868</v>
      </c>
      <c r="C39" s="92" t="s">
        <v>246</v>
      </c>
      <c r="D39" s="92" t="s">
        <v>1157</v>
      </c>
      <c r="E39" s="108">
        <v>118884</v>
      </c>
    </row>
    <row r="40" spans="2:5" x14ac:dyDescent="0.35">
      <c r="B40" s="92" t="s">
        <v>1095</v>
      </c>
      <c r="C40" s="92" t="s">
        <v>586</v>
      </c>
      <c r="D40" s="92" t="s">
        <v>876</v>
      </c>
      <c r="E40" s="108">
        <v>114006</v>
      </c>
    </row>
    <row r="41" spans="2:5" x14ac:dyDescent="0.35">
      <c r="B41" s="92" t="s">
        <v>1172</v>
      </c>
      <c r="C41" s="92" t="s">
        <v>289</v>
      </c>
      <c r="D41" s="92" t="s">
        <v>1173</v>
      </c>
      <c r="E41" s="108">
        <v>91078</v>
      </c>
    </row>
    <row r="42" spans="2:5" x14ac:dyDescent="0.35">
      <c r="B42" s="224"/>
      <c r="C42" s="224"/>
      <c r="D42" s="224"/>
      <c r="E42" s="244"/>
    </row>
    <row r="43" spans="2:5" x14ac:dyDescent="0.35">
      <c r="B43" s="224"/>
      <c r="C43" s="224"/>
      <c r="D43" s="224"/>
      <c r="E43" s="244"/>
    </row>
    <row r="44" spans="2:5" x14ac:dyDescent="0.35">
      <c r="B44" s="241" t="s">
        <v>1080</v>
      </c>
      <c r="C44" s="92"/>
      <c r="D44" s="92"/>
      <c r="E44" s="108"/>
    </row>
    <row r="45" spans="2:5" x14ac:dyDescent="0.35">
      <c r="B45" s="242" t="s">
        <v>1093</v>
      </c>
      <c r="C45" s="92"/>
      <c r="D45" s="92"/>
      <c r="E45" s="108"/>
    </row>
    <row r="46" spans="2:5" x14ac:dyDescent="0.35">
      <c r="B46" s="92" t="s">
        <v>914</v>
      </c>
      <c r="C46" s="92" t="s">
        <v>1156</v>
      </c>
      <c r="D46" s="243" t="s">
        <v>1174</v>
      </c>
      <c r="E46" s="192">
        <v>750.37941372418391</v>
      </c>
    </row>
    <row r="47" spans="2:5" x14ac:dyDescent="0.35">
      <c r="B47" s="92" t="s">
        <v>890</v>
      </c>
      <c r="C47" s="92" t="s">
        <v>741</v>
      </c>
      <c r="D47" s="243" t="s">
        <v>745</v>
      </c>
      <c r="E47" s="195">
        <v>628.17460317460313</v>
      </c>
    </row>
    <row r="48" spans="2:5" x14ac:dyDescent="0.35">
      <c r="B48" s="268" t="s">
        <v>1071</v>
      </c>
      <c r="C48" s="268" t="s">
        <v>288</v>
      </c>
      <c r="D48" s="268" t="s">
        <v>1092</v>
      </c>
      <c r="E48" s="272">
        <v>582.68751974723534</v>
      </c>
    </row>
    <row r="49" spans="2:5" x14ac:dyDescent="0.35">
      <c r="B49" s="253" t="s">
        <v>1068</v>
      </c>
      <c r="C49" s="253" t="s">
        <v>502</v>
      </c>
      <c r="D49" s="273" t="s">
        <v>1085</v>
      </c>
      <c r="E49" s="274">
        <v>411.35632183908046</v>
      </c>
    </row>
    <row r="50" spans="2:5" x14ac:dyDescent="0.35">
      <c r="B50" s="268" t="s">
        <v>1175</v>
      </c>
      <c r="C50" s="268" t="s">
        <v>516</v>
      </c>
      <c r="D50" s="268" t="s">
        <v>928</v>
      </c>
      <c r="E50" s="272">
        <v>367.93333333333334</v>
      </c>
    </row>
    <row r="51" spans="2:5" x14ac:dyDescent="0.35">
      <c r="B51" s="92" t="s">
        <v>870</v>
      </c>
      <c r="C51" s="92" t="s">
        <v>519</v>
      </c>
      <c r="D51" s="92" t="s">
        <v>867</v>
      </c>
      <c r="E51" s="108">
        <v>346.94335347432025</v>
      </c>
    </row>
    <row r="52" spans="2:5" x14ac:dyDescent="0.35">
      <c r="B52" s="92" t="s">
        <v>1095</v>
      </c>
      <c r="C52" s="92" t="s">
        <v>586</v>
      </c>
      <c r="D52" s="92" t="s">
        <v>876</v>
      </c>
      <c r="E52" s="108">
        <v>311.49180327868851</v>
      </c>
    </row>
    <row r="53" spans="2:5" x14ac:dyDescent="0.35">
      <c r="B53" s="92" t="s">
        <v>871</v>
      </c>
      <c r="C53" s="92" t="s">
        <v>114</v>
      </c>
      <c r="D53" s="92" t="s">
        <v>112</v>
      </c>
      <c r="E53" s="108">
        <v>262.625</v>
      </c>
    </row>
    <row r="54" spans="2:5" x14ac:dyDescent="0.35">
      <c r="B54" s="92" t="s">
        <v>1176</v>
      </c>
      <c r="C54" s="92" t="s">
        <v>1177</v>
      </c>
      <c r="D54" s="92" t="s">
        <v>929</v>
      </c>
      <c r="E54" s="108">
        <v>242.09966777408638</v>
      </c>
    </row>
    <row r="55" spans="2:5" x14ac:dyDescent="0.35">
      <c r="B55" s="92" t="s">
        <v>891</v>
      </c>
      <c r="C55" s="92" t="s">
        <v>505</v>
      </c>
      <c r="D55" s="92" t="s">
        <v>892</v>
      </c>
      <c r="E55" s="108">
        <v>187.9111111111111</v>
      </c>
    </row>
    <row r="56" spans="2:5" x14ac:dyDescent="0.35">
      <c r="B56" s="224"/>
      <c r="C56" s="224"/>
      <c r="D56" s="224"/>
      <c r="E56" s="244"/>
    </row>
    <row r="57" spans="2:5" x14ac:dyDescent="0.35">
      <c r="B57" s="224"/>
      <c r="C57" s="224"/>
      <c r="D57" s="224"/>
      <c r="E57" s="244"/>
    </row>
    <row r="58" spans="2:5" x14ac:dyDescent="0.35">
      <c r="B58" s="241" t="s">
        <v>1094</v>
      </c>
      <c r="C58" s="92"/>
      <c r="D58" s="92"/>
      <c r="E58" s="108"/>
    </row>
    <row r="59" spans="2:5" x14ac:dyDescent="0.35">
      <c r="B59" s="242" t="s">
        <v>1178</v>
      </c>
      <c r="C59" s="92"/>
      <c r="D59" s="92"/>
      <c r="E59" s="108"/>
    </row>
    <row r="60" spans="2:5" x14ac:dyDescent="0.35">
      <c r="B60" s="92" t="s">
        <v>1179</v>
      </c>
      <c r="C60" s="92" t="s">
        <v>1180</v>
      </c>
      <c r="D60" s="243" t="s">
        <v>758</v>
      </c>
      <c r="E60" s="192">
        <v>8696</v>
      </c>
    </row>
    <row r="61" spans="2:5" x14ac:dyDescent="0.35">
      <c r="B61" s="92" t="s">
        <v>858</v>
      </c>
      <c r="C61" s="92" t="s">
        <v>1181</v>
      </c>
      <c r="D61" s="243" t="s">
        <v>1182</v>
      </c>
      <c r="E61" s="195">
        <v>8200</v>
      </c>
    </row>
    <row r="62" spans="2:5" x14ac:dyDescent="0.35">
      <c r="B62" s="92" t="s">
        <v>1172</v>
      </c>
      <c r="C62" s="92" t="s">
        <v>289</v>
      </c>
      <c r="D62" s="92" t="s">
        <v>1173</v>
      </c>
      <c r="E62" s="108">
        <v>6412</v>
      </c>
    </row>
    <row r="63" spans="2:5" x14ac:dyDescent="0.35">
      <c r="B63" s="92" t="s">
        <v>1071</v>
      </c>
      <c r="C63" s="92" t="s">
        <v>288</v>
      </c>
      <c r="D63" s="92" t="s">
        <v>1092</v>
      </c>
      <c r="E63" s="108">
        <v>6330</v>
      </c>
    </row>
    <row r="64" spans="2:5" x14ac:dyDescent="0.35">
      <c r="B64" s="92" t="s">
        <v>1075</v>
      </c>
      <c r="C64" s="92" t="s">
        <v>747</v>
      </c>
      <c r="D64" s="92" t="s">
        <v>748</v>
      </c>
      <c r="E64" s="108">
        <v>6042</v>
      </c>
    </row>
    <row r="65" spans="1:5" x14ac:dyDescent="0.35">
      <c r="B65" s="92" t="s">
        <v>1072</v>
      </c>
      <c r="C65" s="92" t="s">
        <v>489</v>
      </c>
      <c r="D65" s="92" t="s">
        <v>743</v>
      </c>
      <c r="E65" s="108">
        <v>5555</v>
      </c>
    </row>
    <row r="66" spans="1:5" x14ac:dyDescent="0.35">
      <c r="B66" s="92" t="s">
        <v>1183</v>
      </c>
      <c r="C66" s="92" t="s">
        <v>499</v>
      </c>
      <c r="D66" s="92" t="s">
        <v>853</v>
      </c>
      <c r="E66" s="108">
        <v>5024</v>
      </c>
    </row>
    <row r="67" spans="1:5" x14ac:dyDescent="0.35">
      <c r="B67" s="92" t="s">
        <v>1074</v>
      </c>
      <c r="C67" s="92" t="s">
        <v>1168</v>
      </c>
      <c r="D67" s="92" t="s">
        <v>1159</v>
      </c>
      <c r="E67" s="108">
        <v>4215</v>
      </c>
    </row>
    <row r="68" spans="1:5" x14ac:dyDescent="0.35">
      <c r="B68" s="92" t="s">
        <v>1184</v>
      </c>
      <c r="C68" s="92" t="s">
        <v>1185</v>
      </c>
      <c r="D68" s="92" t="s">
        <v>753</v>
      </c>
      <c r="E68" s="108">
        <v>3832</v>
      </c>
    </row>
    <row r="69" spans="1:5" x14ac:dyDescent="0.35">
      <c r="B69" s="92" t="s">
        <v>1186</v>
      </c>
      <c r="C69" s="92" t="s">
        <v>1187</v>
      </c>
      <c r="D69" s="92" t="s">
        <v>856</v>
      </c>
      <c r="E69" s="108">
        <v>3482</v>
      </c>
    </row>
    <row r="71" spans="1:5" ht="101.5" x14ac:dyDescent="0.45">
      <c r="A71" s="245" t="s">
        <v>1188</v>
      </c>
      <c r="B71" s="246" t="s">
        <v>1189</v>
      </c>
      <c r="C71" s="247"/>
    </row>
    <row r="72" spans="1:5" ht="18.5" x14ac:dyDescent="0.45">
      <c r="A72" s="248"/>
      <c r="B72" s="224" t="s">
        <v>1190</v>
      </c>
      <c r="C72" s="247"/>
    </row>
    <row r="73" spans="1:5" x14ac:dyDescent="0.35">
      <c r="A73" s="248" t="s">
        <v>1191</v>
      </c>
      <c r="B73" s="32" t="s">
        <v>1192</v>
      </c>
      <c r="C73" s="32"/>
    </row>
    <row r="74" spans="1:5" x14ac:dyDescent="0.35">
      <c r="A74" s="248" t="s">
        <v>1191</v>
      </c>
      <c r="B74" s="32" t="s">
        <v>1193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YouTube Master</vt:lpstr>
      <vt:lpstr>Video Rankings</vt:lpstr>
      <vt:lpstr>Countries on YouTube</vt:lpstr>
      <vt:lpstr>Infographics</vt:lpstr>
      <vt:lpstr>Final Infographics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Lüfkens, Matthias</dc:creator>
  <cp:lastModifiedBy>Lüfkens, Matthias</cp:lastModifiedBy>
  <dcterms:created xsi:type="dcterms:W3CDTF">2016-02-09T10:11:37Z</dcterms:created>
  <dcterms:modified xsi:type="dcterms:W3CDTF">2016-03-18T07:52:20Z</dcterms:modified>
</cp:coreProperties>
</file>